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G:\JOBB og FAG\RMi_classification_spreadsheets\for web page\"/>
    </mc:Choice>
  </mc:AlternateContent>
  <xr:revisionPtr revIDLastSave="0" documentId="13_ncr:1_{2600267B-B8D2-449F-AD4D-413EEB780A4D}" xr6:coauthVersionLast="47" xr6:coauthVersionMax="47" xr10:uidLastSave="{00000000-0000-0000-0000-000000000000}"/>
  <bookViews>
    <workbookView xWindow="-120" yWindow="-120" windowWidth="29040" windowHeight="15525" xr2:uid="{00000000-000D-0000-FFFF-FFFF00000000}"/>
  </bookViews>
  <sheets>
    <sheet name="How to start" sheetId="58" r:id="rId1"/>
    <sheet name="INPUT and CALCULATIONS" sheetId="37" r:id="rId2"/>
    <sheet name="Example of Input" sheetId="60" r:id="rId3"/>
    <sheet name="Parameter tables" sheetId="5" r:id="rId4"/>
    <sheet name="H-B ratings" sheetId="5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37" l="1"/>
  <c r="L56" i="37"/>
  <c r="C46" i="37"/>
  <c r="N42" i="37"/>
  <c r="N12" i="37" l="1"/>
  <c r="O40" i="37"/>
  <c r="L120" i="37"/>
  <c r="E90" i="37"/>
  <c r="E89" i="37"/>
  <c r="A45" i="37" l="1"/>
  <c r="O41" i="37"/>
  <c r="O30" i="37"/>
  <c r="O29" i="37"/>
  <c r="N29" i="37"/>
  <c r="N30" i="37" s="1"/>
  <c r="N40" i="37"/>
  <c r="N41" i="37" s="1"/>
  <c r="D45" i="37" l="1"/>
  <c r="I31" i="37" l="1"/>
  <c r="O10" i="37"/>
  <c r="N16" i="37" l="1"/>
  <c r="X181" i="5"/>
  <c r="O38" i="37" l="1"/>
  <c r="V29" i="37"/>
  <c r="X28" i="37"/>
  <c r="X182" i="5"/>
  <c r="U18" i="37"/>
  <c r="N37" i="37" l="1"/>
  <c r="F128" i="37"/>
  <c r="H80" i="37" l="1"/>
  <c r="G80" i="37"/>
  <c r="G112" i="37"/>
  <c r="G128" i="37"/>
  <c r="N38" i="37" s="1"/>
  <c r="O37" i="37"/>
  <c r="O36" i="37"/>
  <c r="O35" i="37"/>
  <c r="O34" i="37"/>
  <c r="O33" i="37"/>
  <c r="F105" i="37"/>
  <c r="F104" i="37"/>
  <c r="F106" i="37"/>
  <c r="E78" i="37"/>
  <c r="E77" i="37"/>
  <c r="E76" i="37"/>
  <c r="D43" i="5" l="1"/>
  <c r="A44" i="37" l="1"/>
  <c r="F79" i="37"/>
  <c r="F110" i="37" l="1"/>
  <c r="G110" i="37" s="1"/>
  <c r="AD165" i="5" l="1"/>
  <c r="N33" i="37" l="1"/>
  <c r="N34" i="37"/>
  <c r="L123" i="37"/>
  <c r="N17" i="37"/>
  <c r="Y20" i="37" l="1"/>
  <c r="N27" i="37"/>
  <c r="N39" i="37"/>
  <c r="F80" i="37"/>
  <c r="E80" i="37"/>
  <c r="F134" i="37"/>
  <c r="M104" i="37"/>
  <c r="O39" i="37"/>
  <c r="O18" i="37"/>
  <c r="N10" i="37"/>
  <c r="O11" i="37"/>
  <c r="O28" i="37"/>
  <c r="O27" i="37"/>
  <c r="O26" i="37"/>
  <c r="O25" i="37"/>
  <c r="O24" i="37"/>
  <c r="O23" i="37"/>
  <c r="O22" i="37"/>
  <c r="O21" i="37"/>
  <c r="O20" i="37"/>
  <c r="O19" i="37"/>
  <c r="O17" i="37"/>
  <c r="O16" i="37"/>
  <c r="O14" i="37"/>
  <c r="O15" i="37"/>
  <c r="Y21" i="37" l="1"/>
  <c r="Z21" i="37" s="1"/>
  <c r="J48" i="37"/>
  <c r="J47" i="37"/>
  <c r="K28" i="37"/>
  <c r="F129" i="37"/>
  <c r="L124" i="37"/>
  <c r="O32" i="37"/>
  <c r="N31" i="37" l="1"/>
  <c r="O8" i="37"/>
  <c r="X16" i="37"/>
  <c r="T15" i="37"/>
  <c r="X13" i="37"/>
  <c r="K38" i="37" l="1"/>
  <c r="D47" i="37" l="1"/>
  <c r="M77" i="37" l="1"/>
  <c r="M76" i="37"/>
  <c r="H124" i="37"/>
  <c r="H100" i="37"/>
  <c r="F100" i="37"/>
  <c r="G100" i="37"/>
  <c r="N28" i="37"/>
  <c r="Q108" i="37"/>
  <c r="N20" i="37" s="1"/>
  <c r="P108" i="37"/>
  <c r="N108" i="37"/>
  <c r="N19" i="37" s="1"/>
  <c r="M108" i="37"/>
  <c r="L122" i="37" l="1"/>
  <c r="N11" i="37"/>
  <c r="G75" i="37"/>
  <c r="D44" i="37" l="1"/>
  <c r="O12" i="37"/>
  <c r="M42" i="37" s="1"/>
  <c r="E81" i="37" l="1"/>
  <c r="N26" i="37"/>
  <c r="M74" i="37"/>
  <c r="G108" i="37"/>
  <c r="N25" i="37" s="1"/>
  <c r="F108" i="37"/>
  <c r="G104" i="37" l="1"/>
  <c r="G106" i="37"/>
  <c r="G105" i="37"/>
  <c r="G74" i="37"/>
  <c r="N22" i="37" s="1"/>
  <c r="G73" i="37"/>
  <c r="N21" i="37" s="1"/>
  <c r="E74" i="37"/>
  <c r="E73" i="37"/>
  <c r="G71" i="37"/>
  <c r="E71" i="37"/>
  <c r="H71" i="37" s="1"/>
  <c r="G107" i="37" l="1"/>
  <c r="N23" i="37" s="1"/>
  <c r="D92" i="37" l="1"/>
  <c r="D94" i="37" l="1"/>
  <c r="K148" i="37" l="1"/>
  <c r="M148" i="37" s="1"/>
  <c r="F124" i="37" l="1"/>
  <c r="P107" i="37" l="1"/>
  <c r="O107" i="37" s="1"/>
  <c r="N6" i="37" l="1"/>
  <c r="M80" i="37"/>
  <c r="X17" i="37" l="1"/>
  <c r="X15" i="37"/>
  <c r="Y15" i="37" s="1"/>
  <c r="X14" i="37"/>
  <c r="Y14" i="37" s="1"/>
  <c r="X12" i="37"/>
  <c r="L146" i="37" l="1"/>
  <c r="L145" i="37"/>
  <c r="L147" i="37"/>
  <c r="M147" i="37" l="1"/>
  <c r="N147" i="37" s="1"/>
  <c r="N148" i="37"/>
  <c r="F146" i="37"/>
  <c r="F147" i="37"/>
  <c r="F145" i="37"/>
  <c r="O162" i="5"/>
  <c r="F81" i="37"/>
  <c r="F131" i="37"/>
  <c r="B145" i="37" l="1"/>
  <c r="F132" i="37"/>
  <c r="G133" i="37"/>
  <c r="G132" i="37"/>
  <c r="N36" i="37" s="1"/>
  <c r="F133" i="37"/>
  <c r="K147" i="37" l="1"/>
  <c r="K146" i="37"/>
  <c r="M146" i="37" s="1"/>
  <c r="H147" i="37"/>
  <c r="H148" i="37"/>
  <c r="H146" i="37"/>
  <c r="E147" i="37"/>
  <c r="G147" i="37" s="1"/>
  <c r="E148" i="37"/>
  <c r="G148" i="37" s="1"/>
  <c r="O148" i="37" s="1"/>
  <c r="E146" i="37"/>
  <c r="G146" i="37" s="1"/>
  <c r="K145" i="37"/>
  <c r="M145" i="37" s="1"/>
  <c r="H145" i="37"/>
  <c r="E145" i="37"/>
  <c r="G145" i="37" s="1"/>
  <c r="G78" i="37"/>
  <c r="G77" i="37"/>
  <c r="M149" i="37" l="1"/>
  <c r="M150" i="37" s="1"/>
  <c r="N145" i="37"/>
  <c r="N146" i="37"/>
  <c r="O163" i="5"/>
  <c r="O164" i="5"/>
  <c r="O165" i="5"/>
  <c r="F130" i="37" l="1"/>
  <c r="M129" i="37" s="1"/>
  <c r="F125" i="37"/>
  <c r="H125" i="37" s="1"/>
  <c r="B146" i="37"/>
  <c r="B148" i="37"/>
  <c r="N149" i="37"/>
  <c r="N150" i="37" s="1"/>
  <c r="B147" i="37"/>
  <c r="I146" i="37"/>
  <c r="J146" i="37" s="1"/>
  <c r="O146" i="37" s="1"/>
  <c r="I145" i="37"/>
  <c r="J145" i="37" s="1"/>
  <c r="I147" i="37"/>
  <c r="J147" i="37" s="1"/>
  <c r="N35" i="37" l="1"/>
  <c r="M128" i="37"/>
  <c r="M131" i="37" s="1"/>
  <c r="M130" i="37"/>
  <c r="O131" i="37" s="1"/>
  <c r="M53" i="37" s="1"/>
  <c r="O69" i="37"/>
  <c r="L37" i="5"/>
  <c r="D55" i="5"/>
  <c r="D42" i="5"/>
  <c r="L42" i="5" s="1"/>
  <c r="D40" i="5"/>
  <c r="K53" i="37" l="1"/>
  <c r="P53" i="37" s="1"/>
  <c r="O7" i="37"/>
  <c r="O54" i="37" l="1"/>
  <c r="M54" i="37"/>
  <c r="M55" i="37" s="1"/>
  <c r="K54" i="37"/>
  <c r="M100" i="37"/>
  <c r="K55" i="37" l="1"/>
  <c r="E91" i="37"/>
  <c r="F82" i="37" l="1"/>
  <c r="E82" i="37"/>
  <c r="L71" i="37" l="1"/>
  <c r="Z163" i="5"/>
  <c r="AB163" i="5"/>
  <c r="AD163" i="5"/>
  <c r="M163" i="5" s="1"/>
  <c r="Z164" i="5"/>
  <c r="AB164" i="5"/>
  <c r="AD164" i="5"/>
  <c r="M164" i="5" s="1"/>
  <c r="K71" i="37" l="1"/>
  <c r="H91" i="37" l="1"/>
  <c r="AD162" i="5" l="1"/>
  <c r="M162" i="5" s="1"/>
  <c r="AB162" i="5"/>
  <c r="Z162" i="5"/>
  <c r="M165" i="5"/>
  <c r="AB165" i="5"/>
  <c r="Z165" i="5"/>
  <c r="X27" i="37" l="1"/>
  <c r="T26" i="37"/>
  <c r="H90" i="37" l="1"/>
  <c r="M105" i="37" l="1"/>
  <c r="N101" i="37"/>
  <c r="M101" i="37"/>
  <c r="N100" i="37"/>
  <c r="S116" i="37"/>
  <c r="F116" i="37"/>
  <c r="S115" i="37"/>
  <c r="S114" i="37"/>
  <c r="S113" i="37"/>
  <c r="S112" i="37"/>
  <c r="U111" i="37"/>
  <c r="U108" i="37"/>
  <c r="S107" i="37"/>
  <c r="S106" i="37"/>
  <c r="S105" i="37"/>
  <c r="S104" i="37"/>
  <c r="F102" i="37"/>
  <c r="F101" i="37"/>
  <c r="S100" i="37"/>
  <c r="S99" i="37"/>
  <c r="S98" i="37"/>
  <c r="S97" i="37"/>
  <c r="S96" i="37"/>
  <c r="S92" i="37"/>
  <c r="S91" i="37"/>
  <c r="S90" i="37"/>
  <c r="S89" i="37"/>
  <c r="S88" i="37"/>
  <c r="M81" i="37"/>
  <c r="S84" i="37"/>
  <c r="S83" i="37"/>
  <c r="S82" i="37"/>
  <c r="S81" i="37"/>
  <c r="S80" i="37"/>
  <c r="S79" i="37"/>
  <c r="M75" i="37"/>
  <c r="S78" i="37"/>
  <c r="S77" i="37"/>
  <c r="M73" i="37"/>
  <c r="H74" i="37"/>
  <c r="Q75" i="37"/>
  <c r="I70" i="37"/>
  <c r="S73" i="37"/>
  <c r="I73" i="37"/>
  <c r="S72" i="37"/>
  <c r="S71" i="37"/>
  <c r="S70" i="37"/>
  <c r="M68" i="37"/>
  <c r="H112" i="37" l="1"/>
  <c r="M106" i="37"/>
  <c r="F135" i="37"/>
  <c r="F136" i="37"/>
  <c r="X180" i="5" l="1"/>
  <c r="T181" i="5" l="1"/>
  <c r="D8" i="5" l="1"/>
  <c r="L8" i="5" s="1"/>
  <c r="D9" i="5"/>
  <c r="L9" i="5" s="1"/>
  <c r="D10" i="5"/>
  <c r="L10" i="5" s="1"/>
  <c r="D11" i="5"/>
  <c r="L11" i="5" s="1"/>
  <c r="D12" i="5"/>
  <c r="L12" i="5" s="1"/>
  <c r="D13" i="5"/>
  <c r="L13" i="5" s="1"/>
  <c r="F14" i="5"/>
  <c r="D51" i="5" l="1"/>
  <c r="C51" i="5" s="1"/>
  <c r="J29" i="5" l="1"/>
  <c r="D34" i="5"/>
  <c r="J34" i="5" s="1"/>
  <c r="D31" i="5"/>
  <c r="J31" i="5" s="1"/>
  <c r="D32" i="5"/>
  <c r="J32" i="5" s="1"/>
  <c r="D33" i="5"/>
  <c r="J33" i="5" s="1"/>
  <c r="D30" i="5"/>
  <c r="J30" i="5" s="1"/>
  <c r="D48" i="5"/>
  <c r="C48" i="5" s="1"/>
  <c r="D49" i="5"/>
  <c r="C49" i="5" s="1"/>
  <c r="D50" i="5"/>
  <c r="C50" i="5" s="1"/>
  <c r="D47" i="5"/>
  <c r="C47" i="5" s="1"/>
  <c r="L40" i="5"/>
  <c r="D41" i="5"/>
  <c r="L41" i="5" s="1"/>
  <c r="D39" i="5"/>
  <c r="L39" i="5" s="1"/>
  <c r="D38" i="5"/>
  <c r="L38" i="5" s="1"/>
  <c r="F111" i="37" l="1"/>
  <c r="E68" i="37"/>
  <c r="T180" i="5"/>
  <c r="D7" i="5"/>
  <c r="L7" i="5" s="1"/>
  <c r="F54" i="5"/>
  <c r="D56" i="5"/>
  <c r="D57" i="5"/>
  <c r="R69" i="5"/>
  <c r="Q70" i="5"/>
  <c r="R70" i="5"/>
  <c r="Q71" i="5"/>
  <c r="R71" i="5"/>
  <c r="Q72" i="5"/>
  <c r="R72" i="5"/>
  <c r="Q73" i="5"/>
  <c r="R73" i="5"/>
  <c r="Q74" i="5"/>
  <c r="R74" i="5"/>
  <c r="Q75" i="5"/>
  <c r="R75" i="5"/>
  <c r="Q76" i="5"/>
  <c r="R76" i="5"/>
  <c r="F112" i="37" l="1"/>
  <c r="F113" i="37" s="1"/>
  <c r="M103" i="37" s="1"/>
  <c r="H111" i="37"/>
  <c r="G111" i="37" s="1"/>
  <c r="D68" i="37"/>
  <c r="N15" i="37" l="1"/>
  <c r="G68" i="37" s="1"/>
  <c r="G69" i="37" s="1"/>
  <c r="E69" i="37" s="1"/>
  <c r="L70" i="37"/>
  <c r="O70" i="37" s="1"/>
  <c r="G70" i="37"/>
  <c r="G72" i="37" s="1"/>
  <c r="N18" i="37" s="1"/>
  <c r="F115" i="37"/>
  <c r="E70" i="37"/>
  <c r="H70" i="37" s="1"/>
  <c r="M102" i="37"/>
  <c r="M107" i="37"/>
  <c r="N70" i="37"/>
  <c r="M69" i="37"/>
  <c r="N14" i="37"/>
  <c r="I72" i="37"/>
  <c r="I75" i="37" s="1"/>
  <c r="K70" i="37" l="1"/>
  <c r="M72" i="37"/>
  <c r="E72" i="37"/>
  <c r="E75" i="37"/>
  <c r="F103" i="37"/>
  <c r="L76" i="37"/>
  <c r="G76" i="37"/>
  <c r="M78" i="37"/>
  <c r="I79" i="37"/>
  <c r="I76" i="37"/>
  <c r="I81" i="37"/>
  <c r="H105" i="37"/>
  <c r="L77" i="37"/>
  <c r="H106" i="37"/>
  <c r="G103" i="37" l="1"/>
  <c r="F107" i="37"/>
  <c r="F109" i="37" s="1"/>
  <c r="F114" i="37" s="1"/>
  <c r="F119" i="37" s="1"/>
  <c r="E79" i="37"/>
  <c r="E83" i="37" s="1"/>
  <c r="I82" i="37"/>
  <c r="M79" i="37"/>
  <c r="O76" i="37" s="1"/>
  <c r="M82" i="37" s="1"/>
  <c r="M85" i="37" l="1"/>
  <c r="L83" i="37"/>
  <c r="N82" i="37"/>
  <c r="F120" i="37"/>
  <c r="F118" i="37"/>
  <c r="F121" i="37" s="1"/>
  <c r="K50" i="37" s="1"/>
  <c r="E95" i="37"/>
  <c r="E44" i="37"/>
  <c r="G83" i="37"/>
  <c r="I44" i="37" s="1"/>
  <c r="E86" i="37"/>
  <c r="E87" i="37"/>
  <c r="H44" i="37"/>
  <c r="G44" i="37" s="1"/>
  <c r="O145" i="37"/>
  <c r="O147" i="37"/>
  <c r="H121" i="37" l="1"/>
  <c r="M50" i="37" s="1"/>
  <c r="M109" i="37"/>
  <c r="L116" i="37" s="1"/>
  <c r="N44" i="37" s="1"/>
  <c r="M44" i="37" s="1"/>
  <c r="O150" i="37"/>
  <c r="F137" i="37" s="1"/>
  <c r="F44" i="37"/>
  <c r="M86" i="37"/>
  <c r="K45" i="37" l="1"/>
  <c r="J45" i="37" s="1"/>
  <c r="M51" i="37"/>
  <c r="M52" i="37" s="1"/>
  <c r="K51" i="37"/>
  <c r="M134" i="37"/>
  <c r="M135" i="37"/>
  <c r="L118" i="37"/>
  <c r="N118" i="37" s="1"/>
  <c r="M136" i="37"/>
  <c r="L114" i="37"/>
  <c r="N114" i="37" s="1"/>
  <c r="L47" i="37"/>
  <c r="N109" i="37"/>
  <c r="L112" i="37"/>
  <c r="K44" i="37" s="1"/>
  <c r="J44" i="37" s="1"/>
  <c r="F138" i="37"/>
  <c r="N116" i="37"/>
  <c r="E48" i="37"/>
  <c r="F48" i="37" s="1"/>
  <c r="L45" i="37" l="1"/>
  <c r="K52" i="37"/>
  <c r="N112" i="37"/>
  <c r="L44" i="37" s="1"/>
  <c r="D48" i="37"/>
  <c r="F139" i="37"/>
  <c r="H48" i="37"/>
  <c r="M112" i="37" l="1"/>
  <c r="G139" i="37"/>
  <c r="M114" i="37"/>
  <c r="I48" i="37"/>
  <c r="G48" i="37"/>
  <c r="N47" i="37"/>
  <c r="O112" i="37" l="1"/>
  <c r="L46" i="37" s="1"/>
  <c r="K46" i="37"/>
  <c r="M47" i="37" s="1"/>
  <c r="L115" i="37"/>
  <c r="L113" i="37"/>
  <c r="O114" i="37"/>
  <c r="J46" i="37" l="1"/>
  <c r="N113" i="37"/>
  <c r="N115" i="37"/>
  <c r="L48" i="37" l="1"/>
  <c r="F126" i="37" l="1"/>
  <c r="H126" i="37" s="1"/>
  <c r="F72" i="37" l="1"/>
  <c r="H69" i="37"/>
  <c r="F69" i="37" s="1"/>
  <c r="F127" i="37"/>
  <c r="M116" i="37" s="1"/>
  <c r="N45" i="37" l="1"/>
  <c r="M45" i="37" s="1"/>
  <c r="N46" i="37"/>
  <c r="F83" i="37"/>
  <c r="E85" i="37" s="1"/>
  <c r="M118" i="37"/>
  <c r="L119" i="37" s="1"/>
  <c r="P116" i="37"/>
  <c r="H45" i="37" l="1"/>
  <c r="G45" i="37" s="1"/>
  <c r="H83" i="37"/>
  <c r="I45" i="37" s="1"/>
  <c r="P118" i="37"/>
  <c r="L117" i="37"/>
  <c r="M46" i="37"/>
  <c r="F84" i="37"/>
  <c r="H46" i="37" s="1"/>
  <c r="F86" i="37"/>
  <c r="F87" i="37"/>
  <c r="E88" i="37" s="1"/>
  <c r="D93" i="37" s="1"/>
  <c r="N119" i="37"/>
  <c r="G46" i="37" l="1"/>
  <c r="L121" i="37"/>
  <c r="N117" i="37"/>
  <c r="H84" i="37"/>
  <c r="I46" i="37" s="1"/>
  <c r="D85" i="37" l="1"/>
  <c r="G8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Arild</author>
  </authors>
  <commentList>
    <comment ref="M11" authorId="0" shapeId="0" xr:uid="{6127708E-F391-4A3F-BAA9-4DA6E4634442}">
      <text>
        <r>
          <rPr>
            <sz val="7"/>
            <color indexed="81"/>
            <rFont val="Tahoma"/>
            <family val="2"/>
          </rPr>
          <t>a &lt; 1 Mpa
b = 1 - 5 MPa
c = 5 - 25 MPa
d = 25 - 50 MPa
e = 50 - 75 MPa
 f = 75 - 100 MPa
g = 100 - 150 MPa
h = 150 - 250 MPa
 i &gt; 250 MPa</t>
        </r>
      </text>
    </comment>
    <comment ref="M12" authorId="0" shapeId="0" xr:uid="{29BEDDFA-60E5-4038-9C1C-71D8ADBAE6EC}">
      <text>
        <r>
          <rPr>
            <sz val="7"/>
            <color indexed="81"/>
            <rFont val="Tahoma"/>
            <family val="2"/>
          </rPr>
          <t>Input of DJ is required to start the computer calculations of jointed rockmasses.
More accurate inputs of RQD, Vb or Jv may be given (in addition to DJ)</t>
        </r>
      </text>
    </comment>
    <comment ref="M14" authorId="0" shapeId="0" xr:uid="{390FE708-C14E-4F61-894F-0A9A0A603A7A}">
      <text>
        <r>
          <rPr>
            <sz val="7"/>
            <color indexed="81"/>
            <rFont val="Calibri"/>
            <family val="2"/>
            <scheme val="minor"/>
          </rPr>
          <t>Fill in for more accurate input of DJ                     (RQD is used in the RMR- and Q-systems)</t>
        </r>
        <r>
          <rPr>
            <sz val="9"/>
            <color indexed="81"/>
            <rFont val="Tahoma"/>
            <family val="2"/>
          </rPr>
          <t xml:space="preserve">
 </t>
        </r>
      </text>
    </comment>
    <comment ref="M15" authorId="0" shapeId="0" xr:uid="{D77EBE4E-32A2-41C7-A1C3-C0B11B1E8D63}">
      <text>
        <r>
          <rPr>
            <sz val="7"/>
            <color indexed="81"/>
            <rFont val="Calibri"/>
            <family val="2"/>
            <scheme val="minor"/>
          </rPr>
          <t>Fill in for more accurate input of DJ                (Vb is used in the RMi-system)</t>
        </r>
        <r>
          <rPr>
            <sz val="9"/>
            <color indexed="81"/>
            <rFont val="Tahoma"/>
            <family val="2"/>
          </rPr>
          <t xml:space="preserve">
</t>
        </r>
      </text>
    </comment>
    <comment ref="M16" authorId="0" shapeId="0" xr:uid="{9B3BC687-06B2-4275-BCE4-053C68B8C6BF}">
      <text>
        <r>
          <rPr>
            <sz val="7"/>
            <color indexed="81"/>
            <rFont val="Calibri"/>
            <family val="2"/>
            <scheme val="minor"/>
          </rPr>
          <t>Jv can be used for more accurate input of DJ   (Vb and/or RQD is calculated from Jv)</t>
        </r>
        <r>
          <rPr>
            <sz val="9"/>
            <color indexed="81"/>
            <rFont val="Tahoma"/>
            <family val="2"/>
          </rPr>
          <t xml:space="preserve">
</t>
        </r>
      </text>
    </comment>
    <comment ref="M17" authorId="0" shapeId="0" xr:uid="{E72CAB74-1BC3-444E-AA82-C85C7A57E35B}">
      <text>
        <r>
          <rPr>
            <sz val="7"/>
            <color indexed="81"/>
            <rFont val="Tahoma"/>
            <family val="2"/>
          </rPr>
          <t>a  = cubical blocks
b = slightly long and/or flat blocks
c = moderately long and/or flat blocks
d = very long and/or flat blocks
e  = extremely long and/or flat blocks</t>
        </r>
      </text>
    </comment>
    <comment ref="M18" authorId="0" shapeId="0" xr:uid="{C1D81241-8DFE-4F33-88DA-2C06D632BBED}">
      <text>
        <r>
          <rPr>
            <sz val="7"/>
            <color indexed="81"/>
            <rFont val="Tahoma"/>
            <family val="2"/>
          </rPr>
          <t>a = random joints only
b = 1 joint set
c = 1 joint set + random joints
d = 2 joint sets
e = 2 joint sets + random joints
 f = 3 joint sets
g = 3 joint sets + random joints
h = 4 joint sets
 i = crushed</t>
        </r>
      </text>
    </comment>
    <comment ref="M19" authorId="0" shapeId="0" xr:uid="{B94F7946-2BDF-4ACC-844D-AD3D87973884}">
      <text>
        <r>
          <rPr>
            <sz val="7"/>
            <color indexed="81"/>
            <rFont val="Tahoma"/>
            <family val="2"/>
          </rPr>
          <t>a = very favourable
b = favourable
c = fair
d = unfavourable
e = very unfavourable</t>
        </r>
      </text>
    </comment>
    <comment ref="M20" authorId="0" shapeId="0" xr:uid="{11E3D571-7CD2-48CF-8845-9C638CFAAC85}">
      <text>
        <r>
          <rPr>
            <sz val="7"/>
            <color indexed="81"/>
            <rFont val="Tahoma"/>
            <family val="2"/>
          </rPr>
          <t>a = very favourable
b = favourable
c = fair
d = unfavourable
e = very unfavourable</t>
        </r>
      </text>
    </comment>
    <comment ref="M21" authorId="0" shapeId="0" xr:uid="{87D1E741-458A-4EA9-9370-A10FF71E9EC2}">
      <text>
        <r>
          <rPr>
            <sz val="7"/>
            <color indexed="81"/>
            <rFont val="Tahoma"/>
            <family val="2"/>
          </rPr>
          <t>a = very rough joint surface
b = rough
c = slightly rough
d = smooth
e = polished
g = filled joint (seam)</t>
        </r>
      </text>
    </comment>
    <comment ref="M22" authorId="0" shapeId="0" xr:uid="{284DD54D-8782-4833-AA2B-EECD3E20A786}">
      <text>
        <r>
          <rPr>
            <sz val="7"/>
            <color indexed="81"/>
            <rFont val="Tahoma"/>
            <family val="2"/>
          </rPr>
          <t>a = discontinuous joint
b = strongly undulating (wavy)
c = moderately undulating
d = slightly undulating
e = planar joint
f = filled joint (seam)</t>
        </r>
      </text>
    </comment>
    <comment ref="M23" authorId="0" shapeId="0" xr:uid="{2A3D33CB-AC54-409F-865D-7F26FBFC8F3E}">
      <text>
        <r>
          <rPr>
            <sz val="7"/>
            <color indexed="81"/>
            <rFont val="Tahoma"/>
            <family val="2"/>
          </rPr>
          <t>a = healed joint
b = fresh joint
c = slightly weathered joint
d = weathered joint
e = sand/silt coating
f = clay/chlorite coating</t>
        </r>
      </text>
    </comment>
    <comment ref="M24" authorId="0" shapeId="0" xr:uid="{91674B95-E9B7-41D4-A3DA-30150A7FC553}">
      <text>
        <r>
          <rPr>
            <u/>
            <sz val="7"/>
            <color indexed="81"/>
            <rFont val="Tahoma"/>
            <family val="2"/>
          </rPr>
          <t>Fill thickness &lt; 5 mm:</t>
        </r>
        <r>
          <rPr>
            <sz val="7"/>
            <color indexed="81"/>
            <rFont val="Tahoma"/>
            <family val="2"/>
          </rPr>
          <t xml:space="preserve">
h = sand/silt filling
 j = hard clay
 l = soft clay
n = swelling clay
</t>
        </r>
        <r>
          <rPr>
            <u/>
            <sz val="7"/>
            <color indexed="81"/>
            <rFont val="Tahoma"/>
            <family val="2"/>
          </rPr>
          <t>Fill thickness &gt; 5 mm:</t>
        </r>
        <r>
          <rPr>
            <sz val="7"/>
            <color indexed="81"/>
            <rFont val="Tahoma"/>
            <family val="2"/>
          </rPr>
          <t xml:space="preserve">
 i = sand/silt filling
 k = hard clay
m = soft clay
 o = swelling clay</t>
        </r>
      </text>
    </comment>
    <comment ref="M25" authorId="0" shapeId="0" xr:uid="{AF8E323D-A54E-4CC6-BF1D-F8B8EAC5DD28}">
      <text>
        <r>
          <rPr>
            <sz val="7"/>
            <color indexed="81"/>
            <rFont val="Tahoma"/>
            <family val="2"/>
          </rPr>
          <t>a = crack
b = fissure/parting
c = very short joint
d = short joint (1 - 3 m)
e = medium joint (3 - 10 m)
f = long joint
g = seam (filled joint)</t>
        </r>
      </text>
    </comment>
    <comment ref="M26" authorId="0" shapeId="0" xr:uid="{05B3ACD8-5530-4CC1-BDE7-77ADD4ABB807}">
      <text>
        <r>
          <rPr>
            <sz val="7"/>
            <color indexed="81"/>
            <rFont val="Tahoma"/>
            <family val="2"/>
          </rPr>
          <t>a = none
b = &lt; 0.1 mm thickness
c = 0.1 - 1 mm
d = 1 - 5 mm
e = 5 - 25 mm</t>
        </r>
      </text>
    </comment>
    <comment ref="M27" authorId="0" shapeId="0" xr:uid="{0A2B7CA8-48B5-47C1-A93F-E6A855C5C7A9}">
      <text>
        <r>
          <rPr>
            <sz val="7"/>
            <color indexed="81"/>
            <rFont val="Tahoma"/>
            <family val="2"/>
          </rPr>
          <t>a = dry / above GW level
b = damp
c = wet 
d = dripping
e = gushing
f = flowing, decaying
g = heavily flowing</t>
        </r>
      </text>
    </comment>
    <comment ref="M28" authorId="0" shapeId="0" xr:uid="{8FA615B3-7F2A-4D7B-BF6E-DEDDDA8FAF69}">
      <text>
        <r>
          <rPr>
            <sz val="7"/>
            <color indexed="81"/>
            <rFont val="Tahoma"/>
            <family val="2"/>
          </rPr>
          <t>a = at terrain surface
b = low stress / poor interlocking
c = moderate stress
d = high stress
e = mild burst
f = moderate burst
g = heavy burst
h = mild squeezing
i = high squeezing</t>
        </r>
      </text>
    </comment>
    <comment ref="M29" authorId="0" shapeId="0" xr:uid="{7B831DF7-0AA4-4FB4-9411-BE4419E85A8C}">
      <text>
        <r>
          <rPr>
            <sz val="7"/>
            <color indexed="81"/>
            <rFont val="Tahoma"/>
            <family val="2"/>
          </rPr>
          <t>Input of the rock constant, see table in 'H-B ratings' tag</t>
        </r>
        <r>
          <rPr>
            <sz val="9"/>
            <color indexed="81"/>
            <rFont val="Tahoma"/>
            <family val="2"/>
          </rPr>
          <t xml:space="preserve">
</t>
        </r>
      </text>
    </comment>
    <comment ref="M31" authorId="0" shapeId="0" xr:uid="{04494533-1BEB-4020-88F9-4BC30259FBE9}">
      <text>
        <r>
          <rPr>
            <sz val="7"/>
            <color indexed="81"/>
            <rFont val="Tahoma"/>
            <family val="2"/>
          </rPr>
          <t>Input of SRFz is required for the calculations of weakness zone to start</t>
        </r>
      </text>
    </comment>
    <comment ref="M33" authorId="0" shapeId="0" xr:uid="{5CF1A396-4295-40BC-9429-85AA1351BADE}">
      <text>
        <r>
          <rPr>
            <sz val="7"/>
            <color indexed="81"/>
            <rFont val="Tahoma"/>
            <family val="2"/>
          </rPr>
          <t>use value (MPa)</t>
        </r>
      </text>
    </comment>
    <comment ref="M34" authorId="0" shapeId="0" xr:uid="{33CB3B83-1A41-479C-85AB-1210B1CADDBB}">
      <text>
        <r>
          <rPr>
            <sz val="6"/>
            <color indexed="81"/>
            <rFont val="Tahoma"/>
            <family val="2"/>
          </rPr>
          <t>The thickness of the zone may be difficult to measure. If possible, fill in assumed thickness (in m)</t>
        </r>
      </text>
    </comment>
    <comment ref="M35" authorId="0" shapeId="0" xr:uid="{A56871DD-5622-42BA-9A47-0ED6654203C2}">
      <text>
        <r>
          <rPr>
            <sz val="6"/>
            <color indexed="81"/>
            <rFont val="Tahoma"/>
            <family val="2"/>
          </rPr>
          <t>If possible, you may fill in the average size (in dm3) of the fragments in the zone</t>
        </r>
        <r>
          <rPr>
            <sz val="9"/>
            <color indexed="81"/>
            <rFont val="Tahoma"/>
            <family val="2"/>
          </rPr>
          <t xml:space="preserve">
</t>
        </r>
      </text>
    </comment>
    <comment ref="M36" authorId="0" shapeId="0" xr:uid="{402A31E9-89B9-49BA-9613-4769792A2BA9}">
      <text>
        <r>
          <rPr>
            <sz val="7"/>
            <color indexed="81"/>
            <rFont val="Tahoma"/>
            <family val="2"/>
          </rPr>
          <t>a = very favourable
b = favourable
c = fair
d = unfavourable
e = very unfavourable</t>
        </r>
      </text>
    </comment>
    <comment ref="M37" authorId="0" shapeId="0" xr:uid="{0D9CCEDF-DFE5-48E0-9439-4F0E7FBE9D0D}">
      <text>
        <r>
          <rPr>
            <sz val="7"/>
            <color indexed="81"/>
            <rFont val="Tahoma"/>
            <family val="2"/>
          </rPr>
          <t>a = very favourable
b = favourable
c = fair
d = unfavourable
e = very unfavourable</t>
        </r>
      </text>
    </comment>
    <comment ref="M38" authorId="0" shapeId="0" xr:uid="{9174B978-FB3B-41D4-B57F-2758538DE968}">
      <text>
        <r>
          <rPr>
            <sz val="7"/>
            <color indexed="81"/>
            <rFont val="Tahoma"/>
            <family val="2"/>
          </rPr>
          <t xml:space="preserve"> b = mainly fresh joints
 c = slightly altered joint walls
 e = sandy clay coated joints
 f = clay coated joints
  i = sandy joint filling
 m = clayey joint filling
 o = weak zone fill material</t>
        </r>
      </text>
    </comment>
    <comment ref="M39" authorId="0" shapeId="0" xr:uid="{3A4BD39E-5ED2-4020-82E0-772F26CD8018}">
      <text>
        <r>
          <rPr>
            <sz val="7"/>
            <color indexed="81"/>
            <rFont val="Tahoma"/>
            <family val="2"/>
          </rPr>
          <t>a = dry/above GWL
b = damp
c = wet
d = dripping
e = gushing
f = flowing
g = water inburst</t>
        </r>
        <r>
          <rPr>
            <sz val="8"/>
            <color indexed="81"/>
            <rFont val="Tahoma"/>
            <family val="2"/>
          </rPr>
          <t xml:space="preserve">
</t>
        </r>
        <r>
          <rPr>
            <sz val="9"/>
            <color indexed="81"/>
            <rFont val="Tahoma"/>
            <family val="2"/>
          </rPr>
          <t xml:space="preserve">
</t>
        </r>
      </text>
    </comment>
    <comment ref="M40" authorId="0" shapeId="0" xr:uid="{B46DA05D-B9B4-42EE-8290-B23C35BBF191}">
      <text>
        <r>
          <rPr>
            <sz val="7"/>
            <color indexed="81"/>
            <rFont val="Tahoma"/>
            <family val="2"/>
          </rPr>
          <t>Input of the rock constant, see table in 'H-B ratings' tag</t>
        </r>
      </text>
    </comment>
  </commentList>
</comments>
</file>

<file path=xl/sharedStrings.xml><?xml version="1.0" encoding="utf-8"?>
<sst xmlns="http://schemas.openxmlformats.org/spreadsheetml/2006/main" count="1585" uniqueCount="1068">
  <si>
    <t>Q</t>
  </si>
  <si>
    <t>RMi</t>
  </si>
  <si>
    <t>C1</t>
  </si>
  <si>
    <t>C2</t>
  </si>
  <si>
    <t>A1</t>
  </si>
  <si>
    <t>B1</t>
  </si>
  <si>
    <t>B2</t>
  </si>
  <si>
    <t>B3</t>
  </si>
  <si>
    <t>D1</t>
  </si>
  <si>
    <t>D2</t>
  </si>
  <si>
    <t>D3</t>
  </si>
  <si>
    <t>Block volume  (Vb)</t>
  </si>
  <si>
    <t>Number of joint sets</t>
  </si>
  <si>
    <t>Correlations of the input parameters to Q, RMR and RMi</t>
  </si>
  <si>
    <t>A1 =</t>
  </si>
  <si>
    <r>
      <t>s</t>
    </r>
    <r>
      <rPr>
        <vertAlign val="subscript"/>
        <sz val="7"/>
        <color indexed="8"/>
        <rFont val="Arial"/>
        <family val="2"/>
      </rPr>
      <t>c</t>
    </r>
    <r>
      <rPr>
        <sz val="7"/>
        <color indexed="8"/>
        <rFont val="Arial"/>
        <family val="2"/>
      </rPr>
      <t xml:space="preserve">  =</t>
    </r>
  </si>
  <si>
    <t>a</t>
  </si>
  <si>
    <t xml:space="preserve">          Soil</t>
  </si>
  <si>
    <t>b</t>
  </si>
  <si>
    <t>Rock</t>
  </si>
  <si>
    <t>Very low strength</t>
  </si>
  <si>
    <t>c</t>
  </si>
  <si>
    <t>Low strength</t>
  </si>
  <si>
    <t>d</t>
  </si>
  <si>
    <t>Moderate strength</t>
  </si>
  <si>
    <t>e</t>
  </si>
  <si>
    <t>Medium strength</t>
  </si>
  <si>
    <t>f</t>
  </si>
  <si>
    <t>High strength</t>
  </si>
  <si>
    <t>g</t>
  </si>
  <si>
    <t>Very high strength</t>
  </si>
  <si>
    <t>DEGREE OF JOINTING</t>
  </si>
  <si>
    <t>A2 =</t>
  </si>
  <si>
    <t>RQD =</t>
  </si>
  <si>
    <t>Fair</t>
  </si>
  <si>
    <t>Poor</t>
  </si>
  <si>
    <t>Very poor</t>
  </si>
  <si>
    <t>A3 =</t>
  </si>
  <si>
    <t>Very large spacing</t>
  </si>
  <si>
    <t>Large spacing</t>
  </si>
  <si>
    <t>Moderate spacing</t>
  </si>
  <si>
    <t>Small spacing</t>
  </si>
  <si>
    <t>Very small spacing</t>
  </si>
  <si>
    <t>Jn =</t>
  </si>
  <si>
    <t>Nj =</t>
  </si>
  <si>
    <t>No or few joints</t>
  </si>
  <si>
    <t>1  joint set</t>
  </si>
  <si>
    <t>1  joint set + random joints</t>
  </si>
  <si>
    <t>2  joint sets</t>
  </si>
  <si>
    <t>2  joint sets + random joints</t>
  </si>
  <si>
    <t>3  joint sets</t>
  </si>
  <si>
    <t>3  joint sets + random joints</t>
  </si>
  <si>
    <t>h</t>
  </si>
  <si>
    <r>
      <t xml:space="preserve">4  joint sets or more; </t>
    </r>
    <r>
      <rPr>
        <sz val="7"/>
        <color indexed="8"/>
        <rFont val="Arial"/>
        <family val="2"/>
      </rPr>
      <t>heavily jointed</t>
    </r>
  </si>
  <si>
    <t>i</t>
  </si>
  <si>
    <t>Crushed, earth-like</t>
  </si>
  <si>
    <t>-</t>
  </si>
  <si>
    <t>JOINT CHARACTERISTICS</t>
  </si>
  <si>
    <t>A4c =</t>
  </si>
  <si>
    <t>(js =)</t>
  </si>
  <si>
    <t>js =</t>
  </si>
  <si>
    <t>Rough or irregular</t>
  </si>
  <si>
    <t>Slightly rough</t>
  </si>
  <si>
    <t>Smooth</t>
  </si>
  <si>
    <t>Polished</t>
  </si>
  <si>
    <t>Slickensided</t>
  </si>
  <si>
    <t>(jw =)</t>
  </si>
  <si>
    <t>jw =</t>
  </si>
  <si>
    <t>Strongly undulating</t>
  </si>
  <si>
    <t>Moderately undulating</t>
  </si>
  <si>
    <t>Slightly undulating</t>
  </si>
  <si>
    <t>Planar</t>
  </si>
  <si>
    <t>A4e =</t>
  </si>
  <si>
    <t>Ja =</t>
  </si>
  <si>
    <t>jA =</t>
  </si>
  <si>
    <t>Healed or welded joints</t>
  </si>
  <si>
    <t>A4d =</t>
  </si>
  <si>
    <t xml:space="preserve"> -</t>
  </si>
  <si>
    <t>A4a =</t>
  </si>
  <si>
    <t>jL =</t>
  </si>
  <si>
    <t>Parting (very short, thin joint)</t>
  </si>
  <si>
    <t>&lt; 1m</t>
  </si>
  <si>
    <t>Very short joint</t>
  </si>
  <si>
    <t>0.3 – 1m</t>
  </si>
  <si>
    <t>Short joint</t>
  </si>
  <si>
    <t>1 – 3m</t>
  </si>
  <si>
    <t>Medium joint</t>
  </si>
  <si>
    <t>3 – 10m</t>
  </si>
  <si>
    <t>Long joint</t>
  </si>
  <si>
    <t>A4b =</t>
  </si>
  <si>
    <t>Very tight</t>
  </si>
  <si>
    <t>A &lt; 0.1mm</t>
  </si>
  <si>
    <t>Tight</t>
  </si>
  <si>
    <t>Very open</t>
  </si>
  <si>
    <t>B =</t>
  </si>
  <si>
    <t>Co =</t>
  </si>
  <si>
    <t>Very favourable</t>
  </si>
  <si>
    <t>Favourable</t>
  </si>
  <si>
    <t>Unfavourable</t>
  </si>
  <si>
    <t>Very unfavourable</t>
  </si>
  <si>
    <t>GROUND WATER</t>
  </si>
  <si>
    <t>A5 =</t>
  </si>
  <si>
    <t>Jw =</t>
  </si>
  <si>
    <t>GW =</t>
  </si>
  <si>
    <t>Wet</t>
  </si>
  <si>
    <t>Dripping</t>
  </si>
  <si>
    <t>SRF =</t>
  </si>
  <si>
    <t>SL =</t>
  </si>
  <si>
    <t>Heavy rock burst</t>
  </si>
  <si>
    <t>Mild squeezing</t>
  </si>
  <si>
    <t>Heavy squeezing</t>
  </si>
  <si>
    <t>RQD</t>
  </si>
  <si>
    <t>ROCKS</t>
  </si>
  <si>
    <t>RMR system</t>
  </si>
  <si>
    <t>Parameter</t>
  </si>
  <si>
    <t>Value</t>
  </si>
  <si>
    <t>Rating</t>
  </si>
  <si>
    <t>RMR =</t>
  </si>
  <si>
    <t>Q =</t>
  </si>
  <si>
    <t>Qc =</t>
  </si>
  <si>
    <t>Vb =</t>
  </si>
  <si>
    <t>RMi =</t>
  </si>
  <si>
    <t>roof</t>
  </si>
  <si>
    <t>wall</t>
  </si>
  <si>
    <t>Tz &gt; Dt?</t>
  </si>
  <si>
    <t>Tz &gt; Wt?</t>
  </si>
  <si>
    <t>m</t>
  </si>
  <si>
    <t>Stress level</t>
  </si>
  <si>
    <t>Joint orientation</t>
  </si>
  <si>
    <t>Water</t>
  </si>
  <si>
    <t>F</t>
  </si>
  <si>
    <t>Stress reduction factor</t>
  </si>
  <si>
    <t>Joint alteration factor</t>
  </si>
  <si>
    <t>Joint roughness factor</t>
  </si>
  <si>
    <t>Joint water factor</t>
  </si>
  <si>
    <t xml:space="preserve"> - </t>
  </si>
  <si>
    <t>Size ratio</t>
  </si>
  <si>
    <t>Ground water</t>
  </si>
  <si>
    <t>Tz =</t>
  </si>
  <si>
    <t>Zone orientation</t>
  </si>
  <si>
    <t>Rock strength</t>
  </si>
  <si>
    <t>Tunnel data</t>
  </si>
  <si>
    <t>Q value</t>
  </si>
  <si>
    <t>Dt =</t>
  </si>
  <si>
    <t>Wt =</t>
  </si>
  <si>
    <t>Span =</t>
  </si>
  <si>
    <t>Gc =</t>
  </si>
  <si>
    <t>Classification of RMi</t>
  </si>
  <si>
    <t xml:space="preserve"> TERM</t>
  </si>
  <si>
    <t>all strikes</t>
  </si>
  <si>
    <t>0.5 - 2</t>
  </si>
  <si>
    <t>50 - 200</t>
  </si>
  <si>
    <t>200 - 400</t>
  </si>
  <si>
    <t xml:space="preserve"> 5 - 50</t>
  </si>
  <si>
    <t xml:space="preserve"> 5 - 10</t>
  </si>
  <si>
    <t xml:space="preserve"> 10 - 20</t>
  </si>
  <si>
    <t>Very high</t>
  </si>
  <si>
    <t>Low</t>
  </si>
  <si>
    <t>&gt;</t>
  </si>
  <si>
    <t>&lt;</t>
  </si>
  <si>
    <t>Medium stress level</t>
  </si>
  <si>
    <t>High stress level</t>
  </si>
  <si>
    <t>5 - 10</t>
  </si>
  <si>
    <t xml:space="preserve"> 8 - 12</t>
  </si>
  <si>
    <t xml:space="preserve"> 13 - 20</t>
  </si>
  <si>
    <t>8</t>
  </si>
  <si>
    <t>Classification of  RMR</t>
  </si>
  <si>
    <t>Classification of  Q</t>
  </si>
  <si>
    <t>Zone width vs. tunnel size</t>
  </si>
  <si>
    <t>A</t>
  </si>
  <si>
    <t>B</t>
  </si>
  <si>
    <t>C</t>
  </si>
  <si>
    <t>D</t>
  </si>
  <si>
    <t>G</t>
  </si>
  <si>
    <t>JOINTING PATTERN</t>
  </si>
  <si>
    <t>Length &lt; ~0.3m</t>
  </si>
  <si>
    <t>Classification of Size ratio (Sr)</t>
  </si>
  <si>
    <t>Sr =</t>
  </si>
  <si>
    <t>fair</t>
  </si>
  <si>
    <t>t &lt; 5mm</t>
  </si>
  <si>
    <t>t &gt; 5mm</t>
  </si>
  <si>
    <t>&lt; 5mm</t>
  </si>
  <si>
    <t xml:space="preserve"> &gt; 5mm</t>
  </si>
  <si>
    <t>Classification of ground condition factor  (Gc)</t>
  </si>
  <si>
    <t>Thickness or width of the zone (Tz)</t>
  </si>
  <si>
    <t>h // i</t>
  </si>
  <si>
    <t>j // k</t>
  </si>
  <si>
    <t>l // m</t>
  </si>
  <si>
    <t>n // o</t>
  </si>
  <si>
    <t>(t = joint thickness)</t>
  </si>
  <si>
    <t xml:space="preserve">  Note: Q and RMi apply a combination of joint weathering and infilling, while RMR has input of both weathering and infilling</t>
  </si>
  <si>
    <r>
      <t>Q</t>
    </r>
    <r>
      <rPr>
        <vertAlign val="superscript"/>
        <sz val="8"/>
        <rFont val="Arial"/>
        <family val="2"/>
      </rPr>
      <t>1)</t>
    </r>
  </si>
  <si>
    <t>Joint length</t>
  </si>
  <si>
    <t>Overstressing in deformable rock mass</t>
  </si>
  <si>
    <t>Rock quality designation  (RQD)</t>
  </si>
  <si>
    <t>D4</t>
  </si>
  <si>
    <t>D5</t>
  </si>
  <si>
    <t>Joint alteration or weathering</t>
  </si>
  <si>
    <t>For RMi:</t>
  </si>
  <si>
    <t>G1</t>
  </si>
  <si>
    <t>G2</t>
  </si>
  <si>
    <t>ROCK STRESSES (stresses around tunnel)</t>
  </si>
  <si>
    <t>Overstressing; stresses exceed rockmass strength</t>
  </si>
  <si>
    <t>Stress level; stresses below rockmass strength</t>
  </si>
  <si>
    <t>Discontinuous joints</t>
  </si>
  <si>
    <t>Type of weakness zone</t>
  </si>
  <si>
    <t>Wall height =</t>
  </si>
  <si>
    <t>in roof</t>
  </si>
  <si>
    <r>
      <t xml:space="preserve">SL </t>
    </r>
    <r>
      <rPr>
        <sz val="7"/>
        <rFont val="Arial"/>
        <family val="2"/>
      </rPr>
      <t>=</t>
    </r>
  </si>
  <si>
    <t>Range of Ja and jA given in the Q and in the RMi systems</t>
  </si>
  <si>
    <t>Gc</t>
  </si>
  <si>
    <r>
      <rPr>
        <i/>
        <vertAlign val="superscript"/>
        <sz val="7"/>
        <color indexed="8"/>
        <rFont val="Arial"/>
        <family val="2"/>
      </rPr>
      <t xml:space="preserve"> 1)</t>
    </r>
    <r>
      <rPr>
        <i/>
        <sz val="7"/>
        <color indexed="8"/>
        <rFont val="Arial"/>
        <family val="2"/>
      </rPr>
      <t xml:space="preserve"> Jr is found from:  js x jw</t>
    </r>
  </si>
  <si>
    <t>IL =</t>
  </si>
  <si>
    <t>H</t>
  </si>
  <si>
    <t>H1</t>
  </si>
  <si>
    <t>H2</t>
  </si>
  <si>
    <t>H3, H4</t>
  </si>
  <si>
    <r>
      <t>1)</t>
    </r>
    <r>
      <rPr>
        <i/>
        <sz val="7"/>
        <rFont val="Arial"/>
        <family val="2"/>
      </rPr>
      <t xml:space="preserve"> Where more than one joint set occurs, the rating for the smallest spacing should be applied</t>
    </r>
  </si>
  <si>
    <t>wall      contact *)</t>
  </si>
  <si>
    <t>no wall contact **)</t>
  </si>
  <si>
    <t>Size of the zone</t>
  </si>
  <si>
    <r>
      <t xml:space="preserve">Orientation of zone </t>
    </r>
    <r>
      <rPr>
        <sz val="8"/>
        <rFont val="Arial"/>
        <family val="2"/>
      </rPr>
      <t xml:space="preserve">related to excavation </t>
    </r>
    <r>
      <rPr>
        <sz val="7"/>
        <rFont val="Arial"/>
        <family val="2"/>
      </rPr>
      <t>(H3 in roof; H4 in walls)</t>
    </r>
  </si>
  <si>
    <t>None</t>
  </si>
  <si>
    <t>when the ground water has minor influence on stability</t>
  </si>
  <si>
    <t>when the ground water has some influence on stability</t>
  </si>
  <si>
    <t>when the ground water has significant influence on stability</t>
  </si>
  <si>
    <r>
      <t>p</t>
    </r>
    <r>
      <rPr>
        <vertAlign val="subscript"/>
        <sz val="7"/>
        <rFont val="Arial"/>
        <family val="2"/>
      </rPr>
      <t>w</t>
    </r>
    <r>
      <rPr>
        <sz val="7"/>
        <rFont val="Arial"/>
        <family val="2"/>
      </rPr>
      <t xml:space="preserve"> &lt; 1 kg/cm²</t>
    </r>
  </si>
  <si>
    <r>
      <t>p</t>
    </r>
    <r>
      <rPr>
        <vertAlign val="subscript"/>
        <sz val="7"/>
        <rFont val="Arial"/>
        <family val="2"/>
      </rPr>
      <t>w</t>
    </r>
    <r>
      <rPr>
        <sz val="7"/>
        <rFont val="Arial"/>
        <family val="2"/>
      </rPr>
      <t xml:space="preserve"> &gt; 10 kg/cm²</t>
    </r>
  </si>
  <si>
    <r>
      <t xml:space="preserve"> *) </t>
    </r>
    <r>
      <rPr>
        <i/>
        <sz val="7"/>
        <rFont val="Arial"/>
        <family val="2"/>
      </rPr>
      <t>Most weakness zones should be especially evaluated, together with the use of engineering judgement</t>
    </r>
  </si>
  <si>
    <t>Not included</t>
  </si>
  <si>
    <t>Weakness zones and shears are not explicitly included in RMR</t>
  </si>
  <si>
    <t>use value</t>
  </si>
  <si>
    <t>Input rating of RQD (A2) to RMR is automatically calculated from input or calculation of RQD</t>
  </si>
  <si>
    <t>A crude value of RQD may be found from RQD = 110-4.5Jv (Jv is the volumetric joint count)</t>
  </si>
  <si>
    <t>Joint sets</t>
  </si>
  <si>
    <t>C3, C4</t>
  </si>
  <si>
    <r>
      <rPr>
        <sz val="7"/>
        <rFont val="Symbol"/>
        <family val="1"/>
        <charset val="2"/>
      </rPr>
      <t>b</t>
    </r>
    <r>
      <rPr>
        <vertAlign val="subscript"/>
        <sz val="7"/>
        <rFont val="Arial"/>
        <family val="2"/>
      </rPr>
      <t>used</t>
    </r>
    <r>
      <rPr>
        <sz val="7"/>
        <rFont val="Arial"/>
        <family val="2"/>
      </rPr>
      <t xml:space="preserve"> =</t>
    </r>
  </si>
  <si>
    <t>Cubical blocks (or compact blocks)</t>
  </si>
  <si>
    <t>Ratio  largest side/smallest side</t>
  </si>
  <si>
    <t>Partly included in 'Interlocking of rockmass structure'</t>
  </si>
  <si>
    <r>
      <t>Cg = RMi /</t>
    </r>
    <r>
      <rPr>
        <sz val="7"/>
        <rFont val="Symbol"/>
        <family val="1"/>
        <charset val="2"/>
      </rPr>
      <t>s</t>
    </r>
    <r>
      <rPr>
        <vertAlign val="subscript"/>
        <sz val="7"/>
        <rFont val="Symbol"/>
        <family val="1"/>
        <charset val="2"/>
      </rPr>
      <t>q</t>
    </r>
    <r>
      <rPr>
        <sz val="7"/>
        <rFont val="Cambria"/>
        <family val="1"/>
      </rPr>
      <t xml:space="preserve"> ≈</t>
    </r>
  </si>
  <si>
    <t xml:space="preserve">Moderate slabbing </t>
  </si>
  <si>
    <t>after &gt;1 hr</t>
  </si>
  <si>
    <t xml:space="preserve">Slabbing and rock burst </t>
  </si>
  <si>
    <t>after few minutes</t>
  </si>
  <si>
    <t>In ROOF</t>
  </si>
  <si>
    <t>Input rating of UCS (A1) to RMR is automatically calculated from the UCS value given</t>
  </si>
  <si>
    <t>BLOCK VOLUME (Vb) in  m³</t>
  </si>
  <si>
    <t>1 - 2.5</t>
  </si>
  <si>
    <r>
      <t xml:space="preserve">Vb may be calculated from Vb = </t>
    </r>
    <r>
      <rPr>
        <i/>
        <sz val="7"/>
        <color indexed="8"/>
        <rFont val="Symbol"/>
        <family val="1"/>
        <charset val="2"/>
      </rPr>
      <t>b</t>
    </r>
    <r>
      <rPr>
        <i/>
        <sz val="7"/>
        <color indexed="8"/>
        <rFont val="Arial"/>
        <family val="2"/>
      </rPr>
      <t>*Jv</t>
    </r>
    <r>
      <rPr>
        <i/>
        <vertAlign val="superscript"/>
        <sz val="7"/>
        <color indexed="8"/>
        <rFont val="Arial"/>
        <family val="2"/>
      </rPr>
      <t>-3</t>
    </r>
    <r>
      <rPr>
        <i/>
        <sz val="7"/>
        <color indexed="8"/>
        <rFont val="Arial"/>
        <family val="2"/>
      </rPr>
      <t>; A crude value of Vb may be found from 36*Jv</t>
    </r>
    <r>
      <rPr>
        <i/>
        <vertAlign val="superscript"/>
        <sz val="7"/>
        <color indexed="8"/>
        <rFont val="Arial"/>
        <family val="2"/>
      </rPr>
      <t>-3</t>
    </r>
    <r>
      <rPr>
        <i/>
        <sz val="7"/>
        <color indexed="8"/>
        <rFont val="Arial"/>
        <family val="2"/>
      </rPr>
      <t xml:space="preserve">  (</t>
    </r>
    <r>
      <rPr>
        <i/>
        <sz val="7"/>
        <color indexed="8"/>
        <rFont val="Symbol"/>
        <family val="1"/>
        <charset val="2"/>
      </rPr>
      <t>b</t>
    </r>
    <r>
      <rPr>
        <i/>
        <sz val="7"/>
        <color indexed="8"/>
        <rFont val="Arial"/>
        <family val="2"/>
      </rPr>
      <t xml:space="preserve"> = block shape factor)</t>
    </r>
  </si>
  <si>
    <t>Comment</t>
  </si>
  <si>
    <t>Joint spacing rating</t>
  </si>
  <si>
    <r>
      <rPr>
        <sz val="8"/>
        <rFont val="Symbol"/>
        <family val="1"/>
        <charset val="2"/>
      </rPr>
      <t>s</t>
    </r>
    <r>
      <rPr>
        <vertAlign val="subscript"/>
        <sz val="8"/>
        <rFont val="Arial"/>
        <family val="2"/>
      </rPr>
      <t>c</t>
    </r>
    <r>
      <rPr>
        <sz val="8"/>
        <rFont val="Arial"/>
        <family val="2"/>
      </rPr>
      <t xml:space="preserve"> </t>
    </r>
    <r>
      <rPr>
        <sz val="7"/>
        <rFont val="Arial"/>
        <family val="2"/>
      </rPr>
      <t>(MPa)</t>
    </r>
  </si>
  <si>
    <r>
      <rPr>
        <sz val="8"/>
        <color indexed="8"/>
        <rFont val="Symbol"/>
        <family val="1"/>
        <charset val="2"/>
      </rPr>
      <t>s</t>
    </r>
    <r>
      <rPr>
        <vertAlign val="subscript"/>
        <sz val="8"/>
        <color indexed="8"/>
        <rFont val="Arial"/>
        <family val="2"/>
      </rPr>
      <t>c</t>
    </r>
    <r>
      <rPr>
        <sz val="8"/>
        <color indexed="8"/>
        <rFont val="Arial"/>
        <family val="2"/>
      </rPr>
      <t xml:space="preserve"> </t>
    </r>
    <r>
      <rPr>
        <sz val="7"/>
        <color indexed="8"/>
        <rFont val="Arial"/>
        <family val="2"/>
      </rPr>
      <t>(MPa)</t>
    </r>
  </si>
  <si>
    <r>
      <t xml:space="preserve">Uniaxial compressive strength            </t>
    </r>
    <r>
      <rPr>
        <sz val="8"/>
        <rFont val="Arial"/>
        <family val="2"/>
      </rPr>
      <t xml:space="preserve">(UCS or </t>
    </r>
    <r>
      <rPr>
        <sz val="8"/>
        <color indexed="8"/>
        <rFont val="Symbol"/>
        <family val="1"/>
        <charset val="2"/>
      </rPr>
      <t>s</t>
    </r>
    <r>
      <rPr>
        <vertAlign val="subscript"/>
        <sz val="8"/>
        <color indexed="8"/>
        <rFont val="Arial"/>
        <family val="2"/>
      </rPr>
      <t>c</t>
    </r>
    <r>
      <rPr>
        <sz val="8"/>
        <color indexed="8"/>
        <rFont val="Arial"/>
        <family val="2"/>
      </rPr>
      <t>)</t>
    </r>
    <r>
      <rPr>
        <b/>
        <sz val="8"/>
        <color indexed="8"/>
        <rFont val="Arial"/>
        <family val="2"/>
      </rPr>
      <t xml:space="preserve"> </t>
    </r>
    <r>
      <rPr>
        <sz val="8"/>
        <color indexed="8"/>
        <rFont val="Arial"/>
        <family val="2"/>
      </rPr>
      <t>of intact rock</t>
    </r>
  </si>
  <si>
    <t>Sr</t>
  </si>
  <si>
    <t>B4</t>
  </si>
  <si>
    <t>input</t>
  </si>
  <si>
    <t xml:space="preserve">input </t>
  </si>
  <si>
    <t>wall contact                        or    t &lt;  ca. 5mm</t>
  </si>
  <si>
    <t>no wall contact                                      or      t &gt; ca. 5mm</t>
  </si>
  <si>
    <t>For filled joints</t>
  </si>
  <si>
    <t>Very rough or interlocking</t>
  </si>
  <si>
    <t>Note:  jR = Jr = js x jw = 1 for filled joints</t>
  </si>
  <si>
    <t>t &lt; ca. 5mm</t>
  </si>
  <si>
    <t>t &gt; ca. 5mm</t>
  </si>
  <si>
    <t>1 - 2.5 kg/cm²</t>
  </si>
  <si>
    <t>2.5 - 10 kg/cm²</t>
  </si>
  <si>
    <t>10 - 25 litres/min</t>
  </si>
  <si>
    <t>25 - 125 litres/min</t>
  </si>
  <si>
    <t>0.05 - 1</t>
  </si>
  <si>
    <t>0.1 - 0.2</t>
  </si>
  <si>
    <t>inflow &lt; 10 litres/min</t>
  </si>
  <si>
    <t>inflow &gt; 125 litres/min</t>
  </si>
  <si>
    <t>Outside limit of RMR</t>
  </si>
  <si>
    <t>Flowing, decaying</t>
  </si>
  <si>
    <t>Gushing /outwashing</t>
  </si>
  <si>
    <r>
      <t xml:space="preserve">no water inflow </t>
    </r>
    <r>
      <rPr>
        <vertAlign val="superscript"/>
        <sz val="7"/>
        <rFont val="Arial"/>
        <family val="2"/>
      </rPr>
      <t>2)</t>
    </r>
  </si>
  <si>
    <r>
      <t>Overstressing                      (</t>
    </r>
    <r>
      <rPr>
        <sz val="7"/>
        <rFont val="Symbol"/>
        <family val="1"/>
        <charset val="2"/>
      </rPr>
      <t>s</t>
    </r>
    <r>
      <rPr>
        <vertAlign val="subscript"/>
        <sz val="7"/>
        <rFont val="Symbol"/>
        <family val="1"/>
        <charset val="2"/>
      </rPr>
      <t>q</t>
    </r>
    <r>
      <rPr>
        <vertAlign val="subscript"/>
        <sz val="7"/>
        <rFont val="Arial"/>
        <family val="2"/>
      </rPr>
      <t xml:space="preserve"> </t>
    </r>
    <r>
      <rPr>
        <sz val="7"/>
        <rFont val="Arial"/>
        <family val="2"/>
      </rPr>
      <t xml:space="preserve"> &gt; </t>
    </r>
    <r>
      <rPr>
        <sz val="7"/>
        <rFont val="Symbol"/>
        <family val="1"/>
        <charset val="2"/>
      </rPr>
      <t>s</t>
    </r>
    <r>
      <rPr>
        <vertAlign val="subscript"/>
        <sz val="7"/>
        <rFont val="Arial"/>
        <family val="2"/>
      </rPr>
      <t>cm</t>
    </r>
    <r>
      <rPr>
        <sz val="7"/>
        <rFont val="Arial"/>
        <family val="2"/>
      </rPr>
      <t>)   in massive, brittle rock</t>
    </r>
  </si>
  <si>
    <t>Ht &lt; 10m</t>
  </si>
  <si>
    <t>Ht &gt; 20m</t>
  </si>
  <si>
    <t xml:space="preserve"> = SRF</t>
  </si>
  <si>
    <t xml:space="preserve"> = SL</t>
  </si>
  <si>
    <r>
      <t xml:space="preserve">Inflow of water to tunnel                </t>
    </r>
    <r>
      <rPr>
        <b/>
        <sz val="7"/>
        <rFont val="Arial"/>
        <family val="2"/>
      </rPr>
      <t xml:space="preserve"> </t>
    </r>
    <r>
      <rPr>
        <sz val="7"/>
        <rFont val="Arial"/>
        <family val="2"/>
      </rPr>
      <t xml:space="preserve"> and/</t>
    </r>
    <r>
      <rPr>
        <b/>
        <sz val="7"/>
        <rFont val="Arial"/>
        <family val="2"/>
      </rPr>
      <t xml:space="preserve">or </t>
    </r>
  </si>
  <si>
    <t>strike</t>
  </si>
  <si>
    <t>dip</t>
  </si>
  <si>
    <t>all</t>
  </si>
  <si>
    <t>≤</t>
  </si>
  <si>
    <t>Answer:</t>
  </si>
  <si>
    <t>in one wall</t>
  </si>
  <si>
    <t>Range of SRF in Q system</t>
  </si>
  <si>
    <r>
      <t xml:space="preserve">strike ( </t>
    </r>
    <r>
      <rPr>
        <vertAlign val="superscript"/>
        <sz val="7"/>
        <rFont val="Arial"/>
        <family val="2"/>
      </rPr>
      <t>o</t>
    </r>
    <r>
      <rPr>
        <sz val="7"/>
        <rFont val="Arial"/>
        <family val="2"/>
      </rPr>
      <t>)</t>
    </r>
  </si>
  <si>
    <t>m³ or larger</t>
  </si>
  <si>
    <t>Ht = 10 -20m</t>
  </si>
  <si>
    <t>Adjustment used for influence of high stresses in walls</t>
  </si>
  <si>
    <t>For wall height (Ht)</t>
  </si>
  <si>
    <t>Values of  RQD  and  Vb  will automatically be calculated if only input of  Jv  is given.</t>
  </si>
  <si>
    <t>When value for joint spacing (B4) is not given, it is automatically calculated from the block diameter (Db)</t>
  </si>
  <si>
    <t>Number of JOINT SETS used</t>
  </si>
  <si>
    <t>Input:</t>
  </si>
  <si>
    <r>
      <t xml:space="preserve">dip ( </t>
    </r>
    <r>
      <rPr>
        <vertAlign val="superscript"/>
        <sz val="7"/>
        <rFont val="Arial"/>
        <family val="2"/>
      </rPr>
      <t>o</t>
    </r>
    <r>
      <rPr>
        <sz val="7"/>
        <rFont val="Arial"/>
        <family val="2"/>
      </rPr>
      <t>)</t>
    </r>
  </si>
  <si>
    <r>
      <t xml:space="preserve">strike ( </t>
    </r>
    <r>
      <rPr>
        <vertAlign val="superscript"/>
        <sz val="7"/>
        <color indexed="8"/>
        <rFont val="Arial"/>
        <family val="2"/>
      </rPr>
      <t>o</t>
    </r>
    <r>
      <rPr>
        <sz val="7"/>
        <color indexed="8"/>
        <rFont val="Arial"/>
        <family val="2"/>
      </rPr>
      <t>)</t>
    </r>
  </si>
  <si>
    <r>
      <t xml:space="preserve">dip ( </t>
    </r>
    <r>
      <rPr>
        <vertAlign val="superscript"/>
        <sz val="7"/>
        <color indexed="8"/>
        <rFont val="Arial"/>
        <family val="2"/>
      </rPr>
      <t>o</t>
    </r>
    <r>
      <rPr>
        <sz val="7"/>
        <color indexed="8"/>
        <rFont val="Arial"/>
        <family val="2"/>
      </rPr>
      <t>)</t>
    </r>
  </si>
  <si>
    <t>Em =</t>
  </si>
  <si>
    <t>Deformation modulus</t>
  </si>
  <si>
    <t>*) Wall contact before 10cm shear;   **) No wall contact when sheared;</t>
  </si>
  <si>
    <r>
      <t>Crack</t>
    </r>
    <r>
      <rPr>
        <vertAlign val="superscript"/>
        <sz val="7"/>
        <rFont val="Arial"/>
        <family val="2"/>
      </rPr>
      <t xml:space="preserve"> </t>
    </r>
    <r>
      <rPr>
        <sz val="7"/>
        <rFont val="Arial"/>
        <family val="2"/>
      </rPr>
      <t>(irregular break)</t>
    </r>
  </si>
  <si>
    <r>
      <t xml:space="preserve">10 – 30m </t>
    </r>
    <r>
      <rPr>
        <vertAlign val="superscript"/>
        <sz val="7"/>
        <rFont val="Arial"/>
        <family val="2"/>
      </rPr>
      <t>1)</t>
    </r>
  </si>
  <si>
    <r>
      <t xml:space="preserve">&gt; 10m </t>
    </r>
    <r>
      <rPr>
        <vertAlign val="superscript"/>
        <sz val="7"/>
        <rFont val="Arial"/>
        <family val="2"/>
      </rPr>
      <t>2)</t>
    </r>
  </si>
  <si>
    <t>Filled joint, or seam</t>
  </si>
  <si>
    <r>
      <t xml:space="preserve">"Crack" has been introduced in this spreadsheet;  </t>
    </r>
    <r>
      <rPr>
        <i/>
        <vertAlign val="superscript"/>
        <sz val="7"/>
        <rFont val="Arial"/>
        <family val="2"/>
      </rPr>
      <t xml:space="preserve">1) </t>
    </r>
    <r>
      <rPr>
        <i/>
        <sz val="7"/>
        <rFont val="Arial"/>
        <family val="2"/>
      </rPr>
      <t xml:space="preserve">Length 10 – 20 m  is applied in the RMR;  </t>
    </r>
    <r>
      <rPr>
        <i/>
        <vertAlign val="superscript"/>
        <sz val="7"/>
        <rFont val="Arial"/>
        <family val="2"/>
      </rPr>
      <t>2)</t>
    </r>
    <r>
      <rPr>
        <i/>
        <sz val="7"/>
        <rFont val="Arial"/>
        <family val="2"/>
      </rPr>
      <t xml:space="preserve"> Used in cases where most joints in the location are filled</t>
    </r>
  </si>
  <si>
    <t>Vb</t>
  </si>
  <si>
    <t>Closed</t>
  </si>
  <si>
    <r>
      <t>Strike (</t>
    </r>
    <r>
      <rPr>
        <vertAlign val="superscript"/>
        <sz val="8"/>
        <rFont val="Arial"/>
        <family val="2"/>
      </rPr>
      <t>o</t>
    </r>
    <r>
      <rPr>
        <sz val="8"/>
        <rFont val="Arial"/>
        <family val="2"/>
      </rPr>
      <t>) =</t>
    </r>
  </si>
  <si>
    <r>
      <t>Dip (</t>
    </r>
    <r>
      <rPr>
        <vertAlign val="superscript"/>
        <sz val="8"/>
        <rFont val="Arial"/>
        <family val="2"/>
      </rPr>
      <t>o</t>
    </r>
    <r>
      <rPr>
        <sz val="8"/>
        <rFont val="Arial"/>
        <family val="2"/>
      </rPr>
      <t>) =</t>
    </r>
  </si>
  <si>
    <t>In one WALL</t>
  </si>
  <si>
    <t>In opposite WALL</t>
  </si>
  <si>
    <t>0.1 – 1mm</t>
  </si>
  <si>
    <t>1 - 5mm</t>
  </si>
  <si>
    <t>&gt; 5mm</t>
  </si>
  <si>
    <t>Open</t>
  </si>
  <si>
    <t>What is favourable or unfavourable orientation?</t>
  </si>
  <si>
    <t>e =</t>
  </si>
  <si>
    <t>in the opposite wall</t>
  </si>
  <si>
    <t>Ground condition factor</t>
  </si>
  <si>
    <t>adjusted for walls &gt; 10m</t>
  </si>
  <si>
    <t/>
  </si>
  <si>
    <t>Joint weathering A4e =</t>
  </si>
  <si>
    <t>CLASSIFICATIONS USED</t>
  </si>
  <si>
    <t>Tunnel span (m)</t>
  </si>
  <si>
    <t>Wall height (m)</t>
  </si>
  <si>
    <t xml:space="preserve">I N T E R I M       C A L C U L A T I O N S </t>
  </si>
  <si>
    <t>&lt; 10</t>
  </si>
  <si>
    <r>
      <rPr>
        <b/>
        <sz val="7"/>
        <rFont val="Arial"/>
        <family val="2"/>
      </rPr>
      <t>Vb</t>
    </r>
    <r>
      <rPr>
        <sz val="7"/>
        <rFont val="Arial"/>
        <family val="2"/>
      </rPr>
      <t xml:space="preserve"> (in m3) =</t>
    </r>
  </si>
  <si>
    <t>Medium</t>
  </si>
  <si>
    <t>Extremely dense</t>
  </si>
  <si>
    <t xml:space="preserve">Input for Jv may be used instead of  Vb and/or RQD </t>
  </si>
  <si>
    <t>GPa (for RMR &gt; 50)</t>
  </si>
  <si>
    <t>GPa (for RMR &lt; 50)</t>
  </si>
  <si>
    <t>3 joint sets</t>
  </si>
  <si>
    <t>crushed</t>
  </si>
  <si>
    <t>very rough</t>
  </si>
  <si>
    <t>rough</t>
  </si>
  <si>
    <t>slightly rough</t>
  </si>
  <si>
    <t>smooth</t>
  </si>
  <si>
    <t>polished</t>
  </si>
  <si>
    <t>slickensided</t>
  </si>
  <si>
    <t>planar</t>
  </si>
  <si>
    <t>slightly undul.</t>
  </si>
  <si>
    <t>strongly undul.</t>
  </si>
  <si>
    <t>crack</t>
  </si>
  <si>
    <t>long joint</t>
  </si>
  <si>
    <t>favourable</t>
  </si>
  <si>
    <t>unfavourable</t>
  </si>
  <si>
    <t>gushing</t>
  </si>
  <si>
    <t>dripping</t>
  </si>
  <si>
    <t>wet</t>
  </si>
  <si>
    <t>Date:</t>
  </si>
  <si>
    <t>in wall</t>
  </si>
  <si>
    <t>in opposite wall</t>
  </si>
  <si>
    <t>2 joint sets</t>
  </si>
  <si>
    <t>UCS =</t>
  </si>
  <si>
    <t>low stress</t>
  </si>
  <si>
    <t>moderate stress</t>
  </si>
  <si>
    <t>high stress</t>
  </si>
  <si>
    <t>mod. undul.</t>
  </si>
  <si>
    <r>
      <t xml:space="preserve">Not included, except in Qc = Q </t>
    </r>
    <r>
      <rPr>
        <sz val="6"/>
        <color indexed="8"/>
        <rFont val="Arial"/>
        <family val="2"/>
      </rPr>
      <t>x</t>
    </r>
    <r>
      <rPr>
        <sz val="7"/>
        <color indexed="8"/>
        <rFont val="Arial"/>
        <family val="2"/>
      </rPr>
      <t xml:space="preserve"> </t>
    </r>
    <r>
      <rPr>
        <sz val="9"/>
        <color indexed="8"/>
        <rFont val="Symbol"/>
        <family val="1"/>
        <charset val="2"/>
      </rPr>
      <t>s</t>
    </r>
    <r>
      <rPr>
        <vertAlign val="subscript"/>
        <sz val="7"/>
        <color indexed="8"/>
        <rFont val="Arial"/>
        <family val="2"/>
      </rPr>
      <t>c</t>
    </r>
    <r>
      <rPr>
        <sz val="7"/>
        <color indexed="8"/>
        <rFont val="Arial"/>
        <family val="2"/>
      </rPr>
      <t xml:space="preserve"> /100</t>
    </r>
  </si>
  <si>
    <r>
      <t>Stresses below rock mass strength                        (</t>
    </r>
    <r>
      <rPr>
        <sz val="7"/>
        <rFont val="Symbol"/>
        <family val="1"/>
        <charset val="2"/>
      </rPr>
      <t>s</t>
    </r>
    <r>
      <rPr>
        <vertAlign val="subscript"/>
        <sz val="7"/>
        <rFont val="Symbol"/>
        <family val="1"/>
        <charset val="2"/>
      </rPr>
      <t>q</t>
    </r>
    <r>
      <rPr>
        <sz val="7"/>
        <rFont val="Symbol"/>
        <family val="1"/>
        <charset val="2"/>
      </rPr>
      <t xml:space="preserve"> </t>
    </r>
    <r>
      <rPr>
        <sz val="7"/>
        <rFont val="Arial"/>
        <family val="2"/>
      </rPr>
      <t xml:space="preserve">&lt; </t>
    </r>
    <r>
      <rPr>
        <sz val="7"/>
        <rFont val="Symbol"/>
        <family val="1"/>
        <charset val="2"/>
      </rPr>
      <t>s</t>
    </r>
    <r>
      <rPr>
        <vertAlign val="subscript"/>
        <sz val="7"/>
        <rFont val="Arial"/>
        <family val="2"/>
      </rPr>
      <t>cm</t>
    </r>
    <r>
      <rPr>
        <sz val="7"/>
        <rFont val="Arial"/>
        <family val="2"/>
      </rPr>
      <t>)</t>
    </r>
  </si>
  <si>
    <t>Q-value including UCS</t>
  </si>
  <si>
    <r>
      <t>RMR</t>
    </r>
    <r>
      <rPr>
        <vertAlign val="subscript"/>
        <sz val="8"/>
        <rFont val="Arial"/>
        <family val="2"/>
      </rPr>
      <t>1989</t>
    </r>
  </si>
  <si>
    <r>
      <t>RMR</t>
    </r>
    <r>
      <rPr>
        <vertAlign val="subscript"/>
        <sz val="8"/>
        <color indexed="8"/>
        <rFont val="Arial"/>
        <family val="2"/>
      </rPr>
      <t>1989</t>
    </r>
  </si>
  <si>
    <r>
      <t>RMR</t>
    </r>
    <r>
      <rPr>
        <vertAlign val="subscript"/>
        <sz val="9"/>
        <rFont val="Arial"/>
        <family val="2"/>
      </rPr>
      <t>1989</t>
    </r>
  </si>
  <si>
    <t>Locality:</t>
  </si>
  <si>
    <t>Observer:</t>
  </si>
  <si>
    <t>moderate</t>
  </si>
  <si>
    <t>Project:</t>
  </si>
  <si>
    <t>Rock weathering</t>
  </si>
  <si>
    <r>
      <t>Classification of joint or zone orientations (for strikes 0 - 90</t>
    </r>
    <r>
      <rPr>
        <vertAlign val="superscript"/>
        <sz val="9"/>
        <rFont val="Arial"/>
        <family val="2"/>
      </rPr>
      <t>o</t>
    </r>
    <r>
      <rPr>
        <sz val="9"/>
        <rFont val="Arial"/>
        <family val="2"/>
      </rPr>
      <t>)</t>
    </r>
  </si>
  <si>
    <t>Unweathered / fresh</t>
  </si>
  <si>
    <t>Weathering extends throughout rock mass and the rock material is partly friable. Rock has no lustre. All material except quartz is discoloured. Rock can be excavated with geologist's pick.</t>
  </si>
  <si>
    <t>Residual soil</t>
  </si>
  <si>
    <t xml:space="preserve">Soil material with complete disintegration of texture, structure and mineralogy of the parent rock. </t>
  </si>
  <si>
    <t>A2</t>
  </si>
  <si>
    <r>
      <t xml:space="preserve">NOTE!  GW  is related to groundwater influence on rockmass stability.  </t>
    </r>
    <r>
      <rPr>
        <i/>
        <vertAlign val="superscript"/>
        <sz val="7"/>
        <rFont val="Arial"/>
        <family val="2"/>
      </rPr>
      <t>1)</t>
    </r>
    <r>
      <rPr>
        <i/>
        <sz val="7"/>
        <rFont val="Arial"/>
        <family val="2"/>
      </rPr>
      <t xml:space="preserve"> Water pressure used in Q-system;  </t>
    </r>
    <r>
      <rPr>
        <i/>
        <vertAlign val="superscript"/>
        <sz val="7"/>
        <rFont val="Arial"/>
        <family val="2"/>
      </rPr>
      <t>2)</t>
    </r>
    <r>
      <rPr>
        <i/>
        <sz val="7"/>
        <rFont val="Arial"/>
        <family val="2"/>
      </rPr>
      <t xml:space="preserve"> Inflow per 10m tunnel as used in RMR</t>
    </r>
  </si>
  <si>
    <t>Slightly weathered</t>
  </si>
  <si>
    <t>Moderately weathered</t>
  </si>
  <si>
    <t>Highly weathered</t>
  </si>
  <si>
    <t>Completely weathered</t>
  </si>
  <si>
    <t>Rock is totally discoloured and decomposed and in a friable condition with only fragments of the rock texture and structure preserved. The external appearance is that of a soil.</t>
  </si>
  <si>
    <t>Slight discoloration extends through the greater part of the rock mass. The rock is not friable (except in the case of poorly cemented sedimentary rocks). Discontinuities are stained and/or contain a filling of altered materials.</t>
  </si>
  <si>
    <t>Penetrative weathering developed on open disco¬ntinuity surfaces but only slight weathering of rock material. Discontinuities are discoloured and discoloration can extend into rock up to a few mm from discontinuity surface.</t>
  </si>
  <si>
    <t>No visible signs of weathering. Rock fresh, crystals bright. Few discontinuities may show slight staining.</t>
  </si>
  <si>
    <r>
      <t>in dm</t>
    </r>
    <r>
      <rPr>
        <vertAlign val="superscript"/>
        <sz val="7"/>
        <color indexed="8"/>
        <rFont val="Arial"/>
        <family val="2"/>
      </rPr>
      <t>3</t>
    </r>
  </si>
  <si>
    <r>
      <t>water pressure (p</t>
    </r>
    <r>
      <rPr>
        <vertAlign val="subscript"/>
        <sz val="7"/>
        <rFont val="Arial"/>
        <family val="2"/>
      </rPr>
      <t>w</t>
    </r>
    <r>
      <rPr>
        <sz val="7"/>
        <rFont val="Arial"/>
        <family val="2"/>
      </rPr>
      <t>)</t>
    </r>
    <r>
      <rPr>
        <vertAlign val="superscript"/>
        <sz val="7"/>
        <rFont val="Arial"/>
        <family val="2"/>
      </rPr>
      <t>1)</t>
    </r>
  </si>
  <si>
    <t>high</t>
  </si>
  <si>
    <t>Damp</t>
  </si>
  <si>
    <t>damp</t>
  </si>
  <si>
    <t>Inburst / Heavily flowing, without noticeable decay</t>
  </si>
  <si>
    <t>NOTE: Strike and dip are related to the tunnel direction</t>
  </si>
  <si>
    <t>Joint planarity</t>
  </si>
  <si>
    <t>Joint smoothness</t>
  </si>
  <si>
    <t>Jointing pattern</t>
  </si>
  <si>
    <t xml:space="preserve">A4 = </t>
  </si>
  <si>
    <t>spacing (m)</t>
  </si>
  <si>
    <t>dip direction</t>
  </si>
  <si>
    <t xml:space="preserve">A2 = </t>
  </si>
  <si>
    <t>Joint           infilling</t>
  </si>
  <si>
    <t>mild squeeze</t>
  </si>
  <si>
    <t>Weakness zone</t>
  </si>
  <si>
    <t>very favour.</t>
  </si>
  <si>
    <t xml:space="preserve">Q system </t>
  </si>
  <si>
    <t>RMi system</t>
  </si>
  <si>
    <t>Joint separation or aperture (e)</t>
  </si>
  <si>
    <t>Dry / above GWL</t>
  </si>
  <si>
    <t>Groundwater conditions</t>
  </si>
  <si>
    <t>Very low stress level (in portals) /At surface</t>
  </si>
  <si>
    <t>Input of strike and dip:</t>
  </si>
  <si>
    <t>very good</t>
  </si>
  <si>
    <t>good</t>
  </si>
  <si>
    <t>poor</t>
  </si>
  <si>
    <t>very poor</t>
  </si>
  <si>
    <t>except. good</t>
  </si>
  <si>
    <t>extr. good</t>
  </si>
  <si>
    <t>extr. poor</t>
  </si>
  <si>
    <t>except. poor</t>
  </si>
  <si>
    <t>very high</t>
  </si>
  <si>
    <t>low</t>
  </si>
  <si>
    <t>very low</t>
  </si>
  <si>
    <t>extr. low</t>
  </si>
  <si>
    <t>v. favourable</t>
  </si>
  <si>
    <t>extremely large</t>
  </si>
  <si>
    <t>very large size</t>
  </si>
  <si>
    <t>large size</t>
  </si>
  <si>
    <t>moderate size</t>
  </si>
  <si>
    <t>small size</t>
  </si>
  <si>
    <t>very small size</t>
  </si>
  <si>
    <t>extremely small</t>
  </si>
  <si>
    <t>the right answer for all types of rock masses and ground conditions.</t>
  </si>
  <si>
    <t>Try to understand the geological setting and the actual site conditions</t>
  </si>
  <si>
    <t>Wall height:</t>
  </si>
  <si>
    <t>Station:</t>
  </si>
  <si>
    <t>Tunnel span:</t>
  </si>
  <si>
    <t>massive</t>
  </si>
  <si>
    <t>broken</t>
  </si>
  <si>
    <t>jC =</t>
  </si>
  <si>
    <t>Db =</t>
  </si>
  <si>
    <t>JP =</t>
  </si>
  <si>
    <t>Joint size factor</t>
  </si>
  <si>
    <t>Joint condition factor</t>
  </si>
  <si>
    <t>Block shape factor</t>
  </si>
  <si>
    <t>Jointing parameter</t>
  </si>
  <si>
    <t>Massivity factor</t>
  </si>
  <si>
    <t>Interlocking//compactness</t>
  </si>
  <si>
    <t>Rock Mass index</t>
  </si>
  <si>
    <t>Deformation modulus Em =</t>
  </si>
  <si>
    <t>ESR =</t>
  </si>
  <si>
    <t>heavy burst</t>
  </si>
  <si>
    <t>Classification of thickness (width) of zone</t>
  </si>
  <si>
    <t>very small</t>
  </si>
  <si>
    <t>small</t>
  </si>
  <si>
    <t>medium</t>
  </si>
  <si>
    <t>large</t>
  </si>
  <si>
    <t>very large</t>
  </si>
  <si>
    <t>Reference</t>
  </si>
  <si>
    <t>0.1 - 1 m</t>
  </si>
  <si>
    <t>1 - 3 m</t>
  </si>
  <si>
    <t>3 - 10 m</t>
  </si>
  <si>
    <t>10 - 30 m</t>
  </si>
  <si>
    <t>&gt; 30 m</t>
  </si>
  <si>
    <t>NBG (1985)</t>
  </si>
  <si>
    <t>Zone thickness (Tz) =</t>
  </si>
  <si>
    <t>Crushed zones</t>
  </si>
  <si>
    <t>Approximate block size</t>
  </si>
  <si>
    <t>jC</t>
  </si>
  <si>
    <r>
      <t>s</t>
    </r>
    <r>
      <rPr>
        <b/>
        <vertAlign val="subscript"/>
        <sz val="8"/>
        <color theme="1"/>
        <rFont val="Times New Roman"/>
        <family val="1"/>
      </rPr>
      <t xml:space="preserve">c </t>
    </r>
    <r>
      <rPr>
        <vertAlign val="subscript"/>
        <sz val="8"/>
        <color theme="1"/>
        <rFont val="Times New Roman"/>
        <family val="1"/>
      </rPr>
      <t xml:space="preserve"> </t>
    </r>
    <r>
      <rPr>
        <sz val="8"/>
        <color theme="1"/>
        <rFont val="Times New Roman"/>
        <family val="1"/>
      </rPr>
      <t xml:space="preserve">  (MPa)</t>
    </r>
  </si>
  <si>
    <r>
      <t xml:space="preserve">Vb </t>
    </r>
    <r>
      <rPr>
        <sz val="8"/>
        <color theme="1"/>
        <rFont val="Times New Roman"/>
        <family val="1"/>
      </rPr>
      <t xml:space="preserve"> ( m³ )</t>
    </r>
  </si>
  <si>
    <t>≈</t>
  </si>
  <si>
    <r>
      <t>RMi</t>
    </r>
    <r>
      <rPr>
        <b/>
        <vertAlign val="subscript"/>
        <sz val="8"/>
        <color theme="1"/>
        <rFont val="Arial"/>
        <family val="2"/>
      </rPr>
      <t>z</t>
    </r>
  </si>
  <si>
    <r>
      <t>RMi</t>
    </r>
    <r>
      <rPr>
        <vertAlign val="subscript"/>
        <sz val="8"/>
        <rFont val="Arial"/>
        <family val="2"/>
      </rPr>
      <t>z</t>
    </r>
    <r>
      <rPr>
        <sz val="7"/>
        <rFont val="Arial"/>
        <family val="2"/>
      </rPr>
      <t xml:space="preserve"> =</t>
    </r>
  </si>
  <si>
    <r>
      <t>Co</t>
    </r>
    <r>
      <rPr>
        <vertAlign val="subscript"/>
        <sz val="7"/>
        <rFont val="Arial"/>
        <family val="2"/>
      </rPr>
      <t>z</t>
    </r>
    <r>
      <rPr>
        <sz val="7"/>
        <rFont val="Arial"/>
        <family val="2"/>
      </rPr>
      <t xml:space="preserve"> =</t>
    </r>
  </si>
  <si>
    <r>
      <t>Vb (dm</t>
    </r>
    <r>
      <rPr>
        <vertAlign val="superscript"/>
        <sz val="8"/>
        <color theme="0" tint="-0.34998626667073579"/>
        <rFont val="Calibri"/>
        <family val="2"/>
        <scheme val="minor"/>
      </rPr>
      <t>3</t>
    </r>
    <r>
      <rPr>
        <sz val="8"/>
        <color theme="0" tint="-0.34998626667073579"/>
        <rFont val="Calibri"/>
        <family val="2"/>
        <scheme val="minor"/>
      </rPr>
      <t>)</t>
    </r>
  </si>
  <si>
    <r>
      <t>Db</t>
    </r>
    <r>
      <rPr>
        <sz val="8"/>
        <color theme="0" tint="-0.34998626667073579"/>
        <rFont val="Times New Roman"/>
        <family val="1"/>
      </rPr>
      <t xml:space="preserve">  (m )</t>
    </r>
  </si>
  <si>
    <t>HELP and COMMENTS</t>
  </si>
  <si>
    <t>related to tunnel axis</t>
  </si>
  <si>
    <t>Volumetric joint count</t>
  </si>
  <si>
    <t>←</t>
  </si>
  <si>
    <t>v. unfavour.</t>
  </si>
  <si>
    <t>when selecting the input parameter ratings.</t>
  </si>
  <si>
    <r>
      <t xml:space="preserve">NOTE: </t>
    </r>
    <r>
      <rPr>
        <b/>
        <i/>
        <sz val="10"/>
        <color rgb="FF0000CC"/>
        <rFont val="Arial"/>
        <family val="2"/>
      </rPr>
      <t>blue values</t>
    </r>
    <r>
      <rPr>
        <b/>
        <i/>
        <sz val="10"/>
        <rFont val="Arial"/>
        <family val="2"/>
      </rPr>
      <t xml:space="preserve"> can be adjusted</t>
    </r>
  </si>
  <si>
    <t>Estimated Jn, based on Vb, when input for C2 (joint sets) is not given</t>
  </si>
  <si>
    <t>extr. unfavour.</t>
  </si>
  <si>
    <t>crushed, seamy</t>
  </si>
  <si>
    <r>
      <t>WEAKNESS (FAULT) ZONES</t>
    </r>
    <r>
      <rPr>
        <b/>
        <vertAlign val="superscript"/>
        <sz val="9"/>
        <rFont val="Arial"/>
        <family val="2"/>
      </rPr>
      <t xml:space="preserve"> *)</t>
    </r>
  </si>
  <si>
    <t>Average rock USC</t>
  </si>
  <si>
    <t xml:space="preserve"> Rock strength </t>
  </si>
  <si>
    <r>
      <t>strike (</t>
    </r>
    <r>
      <rPr>
        <vertAlign val="superscript"/>
        <sz val="6"/>
        <color rgb="FF000000"/>
        <rFont val="Arial"/>
        <family val="2"/>
      </rPr>
      <t xml:space="preserve"> o </t>
    </r>
    <r>
      <rPr>
        <sz val="6"/>
        <color indexed="8"/>
        <rFont val="Arial"/>
        <family val="2"/>
      </rPr>
      <t>)</t>
    </r>
  </si>
  <si>
    <r>
      <t>dip (</t>
    </r>
    <r>
      <rPr>
        <vertAlign val="superscript"/>
        <sz val="6"/>
        <color rgb="FF000000"/>
        <rFont val="Arial"/>
        <family val="2"/>
      </rPr>
      <t xml:space="preserve"> o </t>
    </r>
    <r>
      <rPr>
        <sz val="6"/>
        <color indexed="8"/>
        <rFont val="Arial"/>
        <family val="2"/>
      </rPr>
      <t>)</t>
    </r>
  </si>
  <si>
    <t>Joint roughness</t>
  </si>
  <si>
    <t>variation</t>
  </si>
  <si>
    <r>
      <t xml:space="preserve">Volumetric joint count (Jv)     </t>
    </r>
    <r>
      <rPr>
        <sz val="7"/>
        <color indexed="8"/>
        <rFont val="Arial"/>
        <family val="2"/>
      </rPr>
      <t xml:space="preserve">  Average value</t>
    </r>
  </si>
  <si>
    <r>
      <t xml:space="preserve">Zone size  </t>
    </r>
    <r>
      <rPr>
        <b/>
        <sz val="7"/>
        <rFont val="Calibri"/>
        <family val="2"/>
      </rPr>
      <t>→</t>
    </r>
  </si>
  <si>
    <t>used</t>
  </si>
  <si>
    <t>Typical value</t>
  </si>
  <si>
    <t>jointed rock</t>
  </si>
  <si>
    <t xml:space="preserve">roof </t>
  </si>
  <si>
    <t xml:space="preserve">wall </t>
  </si>
  <si>
    <t>Rockmass continuity factor</t>
  </si>
  <si>
    <t>Joint roughness factor                                   (Jr = js x jw)</t>
  </si>
  <si>
    <r>
      <rPr>
        <sz val="7"/>
        <color rgb="FF000000"/>
        <rFont val="Arial"/>
        <family val="2"/>
      </rPr>
      <t>Co</t>
    </r>
    <r>
      <rPr>
        <sz val="8"/>
        <color indexed="8"/>
        <rFont val="Arial"/>
        <family val="2"/>
      </rPr>
      <t xml:space="preserve"> </t>
    </r>
    <r>
      <rPr>
        <sz val="5"/>
        <color rgb="FF000000"/>
        <rFont val="Arial"/>
        <family val="2"/>
      </rPr>
      <t>roof</t>
    </r>
    <r>
      <rPr>
        <sz val="8"/>
        <color indexed="8"/>
        <rFont val="Arial"/>
        <family val="2"/>
      </rPr>
      <t xml:space="preserve"> </t>
    </r>
    <r>
      <rPr>
        <sz val="7"/>
        <color rgb="FF000000"/>
        <rFont val="Arial"/>
        <family val="2"/>
      </rPr>
      <t>=</t>
    </r>
  </si>
  <si>
    <r>
      <t xml:space="preserve">Co </t>
    </r>
    <r>
      <rPr>
        <sz val="5"/>
        <color rgb="FF000000"/>
        <rFont val="Arial"/>
        <family val="2"/>
      </rPr>
      <t>wall</t>
    </r>
    <r>
      <rPr>
        <sz val="7"/>
        <color rgb="FF000000"/>
        <rFont val="Arial"/>
        <family val="2"/>
      </rPr>
      <t xml:space="preserve"> =</t>
    </r>
  </si>
  <si>
    <r>
      <t xml:space="preserve">Ja </t>
    </r>
    <r>
      <rPr>
        <sz val="5"/>
        <color rgb="FF000000"/>
        <rFont val="Arial"/>
        <family val="2"/>
      </rPr>
      <t>or</t>
    </r>
    <r>
      <rPr>
        <sz val="7"/>
        <color indexed="8"/>
        <rFont val="Arial"/>
        <family val="2"/>
      </rPr>
      <t xml:space="preserve"> jA =</t>
    </r>
  </si>
  <si>
    <r>
      <t>Co</t>
    </r>
    <r>
      <rPr>
        <vertAlign val="subscript"/>
        <sz val="7"/>
        <color indexed="8"/>
        <rFont val="Arial"/>
        <family val="2"/>
      </rPr>
      <t>z</t>
    </r>
    <r>
      <rPr>
        <sz val="7"/>
        <color indexed="8"/>
        <rFont val="Arial"/>
        <family val="2"/>
      </rPr>
      <t xml:space="preserve"> </t>
    </r>
    <r>
      <rPr>
        <sz val="5"/>
        <color rgb="FF000000"/>
        <rFont val="Arial"/>
        <family val="2"/>
      </rPr>
      <t>roof</t>
    </r>
    <r>
      <rPr>
        <sz val="7"/>
        <color indexed="8"/>
        <rFont val="Arial"/>
        <family val="2"/>
      </rPr>
      <t xml:space="preserve"> =</t>
    </r>
  </si>
  <si>
    <r>
      <t>Co</t>
    </r>
    <r>
      <rPr>
        <vertAlign val="subscript"/>
        <sz val="7"/>
        <color indexed="8"/>
        <rFont val="Arial"/>
        <family val="2"/>
      </rPr>
      <t>z</t>
    </r>
    <r>
      <rPr>
        <sz val="7"/>
        <color indexed="8"/>
        <rFont val="Arial"/>
        <family val="2"/>
      </rPr>
      <t xml:space="preserve"> </t>
    </r>
    <r>
      <rPr>
        <sz val="5"/>
        <color rgb="FF000000"/>
        <rFont val="Arial"/>
        <family val="2"/>
      </rPr>
      <t>wall</t>
    </r>
    <r>
      <rPr>
        <sz val="7"/>
        <color indexed="8"/>
        <rFont val="Arial"/>
        <family val="2"/>
      </rPr>
      <t xml:space="preserve"> =</t>
    </r>
  </si>
  <si>
    <t>dry/above GWL</t>
  </si>
  <si>
    <t>DJ =</t>
  </si>
  <si>
    <t xml:space="preserve"> B =</t>
  </si>
  <si>
    <r>
      <rPr>
        <i/>
        <sz val="7"/>
        <rFont val="Arial"/>
        <family val="2"/>
      </rPr>
      <t xml:space="preserve">Cg = competency of ground;  </t>
    </r>
    <r>
      <rPr>
        <i/>
        <sz val="7"/>
        <rFont val="Symbol"/>
        <family val="1"/>
        <charset val="2"/>
      </rPr>
      <t xml:space="preserve"> s</t>
    </r>
    <r>
      <rPr>
        <i/>
        <vertAlign val="subscript"/>
        <sz val="7"/>
        <rFont val="Symbol"/>
        <family val="1"/>
        <charset val="2"/>
      </rPr>
      <t>q</t>
    </r>
    <r>
      <rPr>
        <i/>
        <vertAlign val="subscript"/>
        <sz val="7"/>
        <rFont val="Arial"/>
        <family val="2"/>
      </rPr>
      <t xml:space="preserve"> </t>
    </r>
    <r>
      <rPr>
        <i/>
        <sz val="7"/>
        <rFont val="Arial"/>
        <family val="2"/>
      </rPr>
      <t xml:space="preserve"> = tangential stresses around the opening; </t>
    </r>
    <r>
      <rPr>
        <i/>
        <sz val="7"/>
        <rFont val="Symbol"/>
        <family val="1"/>
        <charset val="2"/>
      </rPr>
      <t>s</t>
    </r>
    <r>
      <rPr>
        <i/>
        <vertAlign val="subscript"/>
        <sz val="7"/>
        <rFont val="Arial"/>
        <family val="2"/>
      </rPr>
      <t>cm</t>
    </r>
    <r>
      <rPr>
        <i/>
        <sz val="7"/>
        <rFont val="Arial"/>
        <family val="2"/>
      </rPr>
      <t xml:space="preserve"> ≈ RMi = compressive strength of rock mass</t>
    </r>
  </si>
  <si>
    <t>Zone width  (thickness)</t>
  </si>
  <si>
    <t>from input</t>
  </si>
  <si>
    <t>Joint condition in zone</t>
  </si>
  <si>
    <t>Fragment size in zone</t>
  </si>
  <si>
    <t>Fragment diameter in zone</t>
  </si>
  <si>
    <t>dm             =</t>
  </si>
  <si>
    <t>Joint alteration in zone</t>
  </si>
  <si>
    <r>
      <t xml:space="preserve">Jw </t>
    </r>
    <r>
      <rPr>
        <sz val="5"/>
        <rFont val="Arial"/>
        <family val="2"/>
      </rPr>
      <t>or</t>
    </r>
    <r>
      <rPr>
        <sz val="7"/>
        <rFont val="Arial"/>
        <family val="2"/>
      </rPr>
      <t xml:space="preserve"> GW =</t>
    </r>
  </si>
  <si>
    <t>Measurements of main joint sets</t>
  </si>
  <si>
    <r>
      <t xml:space="preserve">Jv </t>
    </r>
    <r>
      <rPr>
        <sz val="6"/>
        <color rgb="FF000000"/>
        <rFont val="Arial"/>
        <family val="2"/>
      </rPr>
      <t>(joints/m</t>
    </r>
    <r>
      <rPr>
        <vertAlign val="superscript"/>
        <sz val="6"/>
        <color rgb="FF000000"/>
        <rFont val="Arial"/>
        <family val="2"/>
      </rPr>
      <t>3</t>
    </r>
    <r>
      <rPr>
        <sz val="6"/>
        <color rgb="FF000000"/>
        <rFont val="Arial"/>
        <family val="2"/>
      </rPr>
      <t>)</t>
    </r>
    <r>
      <rPr>
        <sz val="5"/>
        <color rgb="FF000000"/>
        <rFont val="Arial"/>
        <family val="2"/>
      </rPr>
      <t xml:space="preserve"> </t>
    </r>
    <r>
      <rPr>
        <sz val="6"/>
        <color indexed="8"/>
        <rFont val="Arial"/>
        <family val="2"/>
      </rPr>
      <t>=</t>
    </r>
  </si>
  <si>
    <r>
      <t xml:space="preserve">Vb </t>
    </r>
    <r>
      <rPr>
        <sz val="6"/>
        <color rgb="FF000000"/>
        <rFont val="Arial"/>
        <family val="2"/>
      </rPr>
      <t>(in dm</t>
    </r>
    <r>
      <rPr>
        <vertAlign val="superscript"/>
        <sz val="6"/>
        <color rgb="FF000000"/>
        <rFont val="Arial"/>
        <family val="2"/>
      </rPr>
      <t>3</t>
    </r>
    <r>
      <rPr>
        <sz val="6"/>
        <color rgb="FF000000"/>
        <rFont val="Arial"/>
        <family val="2"/>
      </rPr>
      <t>)</t>
    </r>
    <r>
      <rPr>
        <sz val="6"/>
        <color indexed="8"/>
        <rFont val="Arial"/>
        <family val="2"/>
      </rPr>
      <t xml:space="preserve"> =</t>
    </r>
  </si>
  <si>
    <t>Block diameter (m)</t>
  </si>
  <si>
    <t>Size (thickness) of the weakness / fault zone</t>
  </si>
  <si>
    <r>
      <t>Ja</t>
    </r>
    <r>
      <rPr>
        <vertAlign val="subscript"/>
        <sz val="7"/>
        <color rgb="FF000000"/>
        <rFont val="Arial"/>
        <family val="2"/>
      </rPr>
      <t>z</t>
    </r>
    <r>
      <rPr>
        <sz val="7"/>
        <color indexed="8"/>
        <rFont val="Arial"/>
        <family val="2"/>
      </rPr>
      <t xml:space="preserve"> =</t>
    </r>
  </si>
  <si>
    <t>weakness zone</t>
  </si>
  <si>
    <t>weak zone</t>
  </si>
  <si>
    <t>Crushed zone, clay-free</t>
  </si>
  <si>
    <t>Zone filled with soft material</t>
  </si>
  <si>
    <t>Strength of zone fragments</t>
  </si>
  <si>
    <t>MPa</t>
  </si>
  <si>
    <t xml:space="preserve"> Em =</t>
  </si>
  <si>
    <t>Spacing</t>
  </si>
  <si>
    <r>
      <t xml:space="preserve">RQD </t>
    </r>
    <r>
      <rPr>
        <sz val="5"/>
        <color rgb="FF000000"/>
        <rFont val="Arial"/>
        <family val="2"/>
      </rPr>
      <t>(value)</t>
    </r>
    <r>
      <rPr>
        <sz val="6"/>
        <color indexed="8"/>
        <rFont val="Arial"/>
        <family val="2"/>
      </rPr>
      <t xml:space="preserve"> =</t>
    </r>
  </si>
  <si>
    <t xml:space="preserve">only of zone </t>
  </si>
  <si>
    <t xml:space="preserve">Joint separation </t>
  </si>
  <si>
    <t>Input</t>
  </si>
  <si>
    <t>Answer</t>
  </si>
  <si>
    <t>Outside limit</t>
  </si>
  <si>
    <t>Help to calculate and compare values of  RQD, Block size (Vb) and Volumetric joint count (Jv)</t>
  </si>
  <si>
    <t>click here</t>
  </si>
  <si>
    <t>span/ ESR =</t>
  </si>
  <si>
    <t>C A L C U L A T E D   R E S U L T S</t>
  </si>
  <si>
    <t>discontinuous</t>
  </si>
  <si>
    <t>Slightly altered joint walls (coloured, stained)</t>
  </si>
  <si>
    <t>Altered joint wall (no loose material)</t>
  </si>
  <si>
    <t>Coating of friction materials (silt, sand, etc.)</t>
  </si>
  <si>
    <t>altered joints</t>
  </si>
  <si>
    <t>Zone condition and filling</t>
  </si>
  <si>
    <r>
      <t>Strike (</t>
    </r>
    <r>
      <rPr>
        <vertAlign val="superscript"/>
        <sz val="7"/>
        <rFont val="Arial"/>
        <family val="2"/>
      </rPr>
      <t xml:space="preserve"> o </t>
    </r>
    <r>
      <rPr>
        <sz val="7"/>
        <rFont val="Arial"/>
        <family val="2"/>
      </rPr>
      <t>) =</t>
    </r>
  </si>
  <si>
    <r>
      <t>Dip (</t>
    </r>
    <r>
      <rPr>
        <vertAlign val="superscript"/>
        <sz val="7"/>
        <rFont val="Arial"/>
        <family val="2"/>
      </rPr>
      <t xml:space="preserve"> o </t>
    </r>
    <r>
      <rPr>
        <sz val="7"/>
        <rFont val="Arial"/>
        <family val="2"/>
      </rPr>
      <t>) =</t>
    </r>
  </si>
  <si>
    <r>
      <t>NOTE: The strike (0 - 90</t>
    </r>
    <r>
      <rPr>
        <vertAlign val="superscript"/>
        <sz val="7"/>
        <color rgb="FF0000CC"/>
        <rFont val="Calibri"/>
        <family val="2"/>
        <scheme val="minor"/>
      </rPr>
      <t>o</t>
    </r>
    <r>
      <rPr>
        <sz val="7"/>
        <color rgb="FF0000CC"/>
        <rFont val="Calibri"/>
        <family val="2"/>
        <scheme val="minor"/>
      </rPr>
      <t>) is related to the orientation of the tunnel</t>
    </r>
  </si>
  <si>
    <t>slightly jointed</t>
  </si>
  <si>
    <t>Joint dimensions</t>
  </si>
  <si>
    <t>very unfavour.</t>
  </si>
  <si>
    <t>1. Input parameters for jointed rock masses (between zones)</t>
  </si>
  <si>
    <t>wall height/ ESR =</t>
  </si>
  <si>
    <t>90-100</t>
  </si>
  <si>
    <t>75-90</t>
  </si>
  <si>
    <t>50-75</t>
  </si>
  <si>
    <t>25-50</t>
  </si>
  <si>
    <t>10-25</t>
  </si>
  <si>
    <t>Joint condition</t>
  </si>
  <si>
    <t>Characteristics of main joint set</t>
  </si>
  <si>
    <t>A. Clean joint</t>
  </si>
  <si>
    <t>B. Filled joint</t>
  </si>
  <si>
    <r>
      <t>UCS</t>
    </r>
    <r>
      <rPr>
        <sz val="5"/>
        <color rgb="FF000000"/>
        <rFont val="Arial"/>
        <family val="2"/>
      </rPr>
      <t xml:space="preserve"> (MPa) </t>
    </r>
    <r>
      <rPr>
        <sz val="7"/>
        <color rgb="FF000000"/>
        <rFont val="Arial"/>
        <family val="2"/>
      </rPr>
      <t>=</t>
    </r>
  </si>
  <si>
    <r>
      <t xml:space="preserve">Tz </t>
    </r>
    <r>
      <rPr>
        <sz val="5"/>
        <color rgb="FF000000"/>
        <rFont val="Arial"/>
        <family val="2"/>
      </rPr>
      <t>(m)</t>
    </r>
    <r>
      <rPr>
        <sz val="7"/>
        <color indexed="8"/>
        <rFont val="Arial"/>
        <family val="2"/>
      </rPr>
      <t xml:space="preserve"> =</t>
    </r>
  </si>
  <si>
    <r>
      <t>Vb</t>
    </r>
    <r>
      <rPr>
        <vertAlign val="subscript"/>
        <sz val="7"/>
        <color rgb="FF000000"/>
        <rFont val="Arial"/>
        <family val="2"/>
      </rPr>
      <t>z</t>
    </r>
    <r>
      <rPr>
        <sz val="7"/>
        <color indexed="8"/>
        <rFont val="Arial"/>
        <family val="2"/>
      </rPr>
      <t xml:space="preserve"> </t>
    </r>
    <r>
      <rPr>
        <sz val="6"/>
        <color rgb="FF000000"/>
        <rFont val="Arial"/>
        <family val="2"/>
      </rPr>
      <t>(dm</t>
    </r>
    <r>
      <rPr>
        <vertAlign val="superscript"/>
        <sz val="6"/>
        <color rgb="FF000000"/>
        <rFont val="Arial"/>
        <family val="2"/>
      </rPr>
      <t xml:space="preserve">3 </t>
    </r>
    <r>
      <rPr>
        <sz val="6"/>
        <color rgb="FF000000"/>
        <rFont val="Arial"/>
        <family val="2"/>
      </rPr>
      <t>)</t>
    </r>
    <r>
      <rPr>
        <sz val="7"/>
        <color indexed="8"/>
        <rFont val="Arial"/>
        <family val="2"/>
      </rPr>
      <t xml:space="preserve"> =</t>
    </r>
  </si>
  <si>
    <t xml:space="preserve">Type of weakness zone </t>
  </si>
  <si>
    <t>few random</t>
  </si>
  <si>
    <t>1  set+random</t>
  </si>
  <si>
    <t>2 sets+random</t>
  </si>
  <si>
    <t>3 sets+random</t>
  </si>
  <si>
    <t>&gt; 4 joint sets</t>
  </si>
  <si>
    <t>filled joint</t>
  </si>
  <si>
    <t xml:space="preserve"> for filled joint</t>
  </si>
  <si>
    <t>healed joint</t>
  </si>
  <si>
    <t>parting</t>
  </si>
  <si>
    <t>0.3-1 m joint</t>
  </si>
  <si>
    <t>1-3 m joint</t>
  </si>
  <si>
    <t>3-10 m joint</t>
  </si>
  <si>
    <t>closed</t>
  </si>
  <si>
    <t>0.1-1 mm</t>
  </si>
  <si>
    <t>1-5 mm gap</t>
  </si>
  <si>
    <t>&lt; 5 mm gap</t>
  </si>
  <si>
    <t>flowing water</t>
  </si>
  <si>
    <t>inburst</t>
  </si>
  <si>
    <t>very low stress</t>
  </si>
  <si>
    <t>heavy squeeze</t>
  </si>
  <si>
    <t>Large blocks</t>
  </si>
  <si>
    <t>Very large blocks</t>
  </si>
  <si>
    <t>moderate burst</t>
  </si>
  <si>
    <t>mod. slabbing</t>
  </si>
  <si>
    <t>(see 'Parameter tables')</t>
  </si>
  <si>
    <t>Approximate fragment size</t>
  </si>
  <si>
    <t>SRF adjust for walls &gt; 10m</t>
  </si>
  <si>
    <t>b =</t>
  </si>
  <si>
    <t xml:space="preserve">        RMi system </t>
  </si>
  <si>
    <t>Crushed</t>
  </si>
  <si>
    <t>Broken /small blocks</t>
  </si>
  <si>
    <t xml:space="preserve"> Degree of</t>
  </si>
  <si>
    <t>Uniaxial compressive strength of rock</t>
  </si>
  <si>
    <t>The degree of weathering is only used as information on the rock condition. Rocks in or near the terrain surface show often some weathering</t>
  </si>
  <si>
    <t xml:space="preserve">RQD and joint spacing (Sa) will be calculated from Vb if only input of Vb or DJ is given. </t>
  </si>
  <si>
    <t>in zones Jr= 1</t>
  </si>
  <si>
    <r>
      <t>Rock weathering</t>
    </r>
    <r>
      <rPr>
        <sz val="8"/>
        <color rgb="FF000000"/>
        <rFont val="Calibri"/>
        <family val="2"/>
        <scheme val="minor"/>
      </rPr>
      <t xml:space="preserve"> →</t>
    </r>
  </si>
  <si>
    <t xml:space="preserve"> - RQD</t>
  </si>
  <si>
    <t xml:space="preserve"> - Block size</t>
  </si>
  <si>
    <t>Rock quality designation</t>
  </si>
  <si>
    <t>Block volume</t>
  </si>
  <si>
    <t>Block shape</t>
  </si>
  <si>
    <t>Equations used</t>
  </si>
  <si>
    <t>high DJ</t>
  </si>
  <si>
    <t>moderate DJ</t>
  </si>
  <si>
    <t>low DJ</t>
  </si>
  <si>
    <t xml:space="preserve">Help to characterize joint or zone orientation </t>
  </si>
  <si>
    <t>support</t>
  </si>
  <si>
    <t>Unknown type</t>
  </si>
  <si>
    <t>unknown type</t>
  </si>
  <si>
    <t>The more input is given, the better the calculated result will be.</t>
  </si>
  <si>
    <t>Compressive strength of rock fragments or material in the zone</t>
  </si>
  <si>
    <r>
      <rPr>
        <sz val="8"/>
        <rFont val="Arial Narrow"/>
        <family val="2"/>
      </rPr>
      <t>Rock type</t>
    </r>
    <r>
      <rPr>
        <sz val="8"/>
        <rFont val="Calibri"/>
        <family val="2"/>
        <scheme val="minor"/>
      </rPr>
      <t xml:space="preserve"> →</t>
    </r>
  </si>
  <si>
    <t xml:space="preserve">INPUT </t>
  </si>
  <si>
    <r>
      <t>SRF</t>
    </r>
    <r>
      <rPr>
        <vertAlign val="subscript"/>
        <sz val="8"/>
        <color rgb="FF000000"/>
        <rFont val="Arial Black"/>
        <family val="2"/>
      </rPr>
      <t>z</t>
    </r>
    <r>
      <rPr>
        <sz val="8"/>
        <color indexed="8"/>
        <rFont val="Arial Black"/>
        <family val="2"/>
      </rPr>
      <t xml:space="preserve"> =              </t>
    </r>
  </si>
  <si>
    <t>(in roof)</t>
  </si>
  <si>
    <t xml:space="preserve">Joint orientation </t>
  </si>
  <si>
    <t>Jont conditions</t>
  </si>
  <si>
    <t>cubical</t>
  </si>
  <si>
    <t>slightly long or flat</t>
  </si>
  <si>
    <t>mod. long or flat</t>
  </si>
  <si>
    <t>very long or flat</t>
  </si>
  <si>
    <t>Groundwater condition</t>
  </si>
  <si>
    <t>2. Further calculations of jointed rock masses</t>
  </si>
  <si>
    <t>(for weak zones, SL = 1)</t>
  </si>
  <si>
    <t>Jw   given                               in Q system</t>
  </si>
  <si>
    <t xml:space="preserve">soft filling  </t>
  </si>
  <si>
    <r>
      <t>RQD (</t>
    </r>
    <r>
      <rPr>
        <sz val="5"/>
        <color rgb="FF000000"/>
        <rFont val="Arial"/>
        <family val="2"/>
      </rPr>
      <t>from</t>
    </r>
    <r>
      <rPr>
        <sz val="7"/>
        <color rgb="FFFF0000"/>
        <rFont val="Arial"/>
        <family val="2"/>
      </rPr>
      <t xml:space="preserve"> </t>
    </r>
    <r>
      <rPr>
        <sz val="6"/>
        <color rgb="FFFF0000"/>
        <rFont val="Arial"/>
        <family val="2"/>
      </rPr>
      <t>Jv</t>
    </r>
    <r>
      <rPr>
        <sz val="7"/>
        <color indexed="8"/>
        <rFont val="Arial"/>
        <family val="2"/>
      </rPr>
      <t xml:space="preserve">) </t>
    </r>
    <r>
      <rPr>
        <sz val="7"/>
        <color indexed="8"/>
        <rFont val="Calibri"/>
        <family val="2"/>
      </rPr>
      <t>≈</t>
    </r>
  </si>
  <si>
    <r>
      <t>RQD (</t>
    </r>
    <r>
      <rPr>
        <sz val="5"/>
        <color rgb="FF000000"/>
        <rFont val="Arial"/>
        <family val="2"/>
      </rPr>
      <t>from</t>
    </r>
    <r>
      <rPr>
        <sz val="7"/>
        <color rgb="FF0000CC"/>
        <rFont val="Arial"/>
        <family val="2"/>
      </rPr>
      <t xml:space="preserve"> </t>
    </r>
    <r>
      <rPr>
        <sz val="6"/>
        <color rgb="FF0000CC"/>
        <rFont val="Arial"/>
        <family val="2"/>
      </rPr>
      <t>Vb</t>
    </r>
    <r>
      <rPr>
        <sz val="7"/>
        <color indexed="8"/>
        <rFont val="Arial"/>
        <family val="2"/>
      </rPr>
      <t>) ≈</t>
    </r>
  </si>
  <si>
    <r>
      <rPr>
        <sz val="7"/>
        <color rgb="FF0000CC"/>
        <rFont val="Arial"/>
        <family val="2"/>
      </rPr>
      <t>Vb</t>
    </r>
    <r>
      <rPr>
        <sz val="7"/>
        <color indexed="8"/>
        <rFont val="Arial"/>
        <family val="2"/>
      </rPr>
      <t xml:space="preserve"> (</t>
    </r>
    <r>
      <rPr>
        <sz val="5"/>
        <color rgb="FF000000"/>
        <rFont val="Arial"/>
        <family val="2"/>
      </rPr>
      <t>from</t>
    </r>
    <r>
      <rPr>
        <sz val="7"/>
        <color indexed="8"/>
        <rFont val="Arial"/>
        <family val="2"/>
      </rPr>
      <t xml:space="preserve"> </t>
    </r>
    <r>
      <rPr>
        <sz val="6"/>
        <color rgb="FF000000"/>
        <rFont val="Arial"/>
        <family val="2"/>
      </rPr>
      <t>RQD</t>
    </r>
    <r>
      <rPr>
        <sz val="7"/>
        <color indexed="8"/>
        <rFont val="Arial"/>
        <family val="2"/>
      </rPr>
      <t>) ≈</t>
    </r>
  </si>
  <si>
    <r>
      <rPr>
        <sz val="7"/>
        <color rgb="FF0000CC"/>
        <rFont val="Arial"/>
        <family val="2"/>
      </rPr>
      <t>Vb</t>
    </r>
    <r>
      <rPr>
        <sz val="7"/>
        <color indexed="8"/>
        <rFont val="Arial"/>
        <family val="2"/>
      </rPr>
      <t xml:space="preserve"> (</t>
    </r>
    <r>
      <rPr>
        <sz val="5"/>
        <color rgb="FF000000"/>
        <rFont val="Arial"/>
        <family val="2"/>
      </rPr>
      <t>from</t>
    </r>
    <r>
      <rPr>
        <sz val="7"/>
        <color rgb="FFFF0000"/>
        <rFont val="Arial"/>
        <family val="2"/>
      </rPr>
      <t xml:space="preserve"> </t>
    </r>
    <r>
      <rPr>
        <sz val="6"/>
        <color rgb="FFFF0000"/>
        <rFont val="Arial"/>
        <family val="2"/>
      </rPr>
      <t>Jv</t>
    </r>
    <r>
      <rPr>
        <sz val="7"/>
        <color indexed="8"/>
        <rFont val="Arial"/>
        <family val="2"/>
      </rPr>
      <t>) ≈</t>
    </r>
  </si>
  <si>
    <r>
      <rPr>
        <sz val="7"/>
        <color rgb="FFFF0000"/>
        <rFont val="Arial"/>
        <family val="2"/>
      </rPr>
      <t>Jv</t>
    </r>
    <r>
      <rPr>
        <sz val="7"/>
        <color indexed="8"/>
        <rFont val="Arial"/>
        <family val="2"/>
      </rPr>
      <t xml:space="preserve"> (</t>
    </r>
    <r>
      <rPr>
        <sz val="5"/>
        <color rgb="FF000000"/>
        <rFont val="Arial"/>
        <family val="2"/>
      </rPr>
      <t>from</t>
    </r>
    <r>
      <rPr>
        <sz val="7"/>
        <color indexed="8"/>
        <rFont val="Arial"/>
        <family val="2"/>
      </rPr>
      <t xml:space="preserve"> </t>
    </r>
    <r>
      <rPr>
        <sz val="6"/>
        <color rgb="FF0000CC"/>
        <rFont val="Arial"/>
        <family val="2"/>
      </rPr>
      <t>Vb</t>
    </r>
    <r>
      <rPr>
        <sz val="7"/>
        <color indexed="8"/>
        <rFont val="Arial"/>
        <family val="2"/>
      </rPr>
      <t>) ≈</t>
    </r>
  </si>
  <si>
    <r>
      <rPr>
        <sz val="7"/>
        <color rgb="FFFF0000"/>
        <rFont val="Arial"/>
        <family val="2"/>
      </rPr>
      <t xml:space="preserve">Jv </t>
    </r>
    <r>
      <rPr>
        <sz val="7"/>
        <color indexed="8"/>
        <rFont val="Arial"/>
        <family val="2"/>
      </rPr>
      <t>(</t>
    </r>
    <r>
      <rPr>
        <sz val="5"/>
        <color rgb="FF000000"/>
        <rFont val="Arial"/>
        <family val="2"/>
      </rPr>
      <t>from</t>
    </r>
    <r>
      <rPr>
        <sz val="7"/>
        <color indexed="8"/>
        <rFont val="Arial"/>
        <family val="2"/>
      </rPr>
      <t xml:space="preserve"> </t>
    </r>
    <r>
      <rPr>
        <sz val="6"/>
        <color rgb="FF000000"/>
        <rFont val="Arial"/>
        <family val="2"/>
      </rPr>
      <t>RQD</t>
    </r>
    <r>
      <rPr>
        <sz val="7"/>
        <color indexed="8"/>
        <rFont val="Arial"/>
        <family val="2"/>
      </rPr>
      <t>) ≈</t>
    </r>
  </si>
  <si>
    <t xml:space="preserve"> RQD ≈ 110-2.5Jv</t>
  </si>
  <si>
    <r>
      <t xml:space="preserve"> RQD ≈ 110-2.5*(Vb/</t>
    </r>
    <r>
      <rPr>
        <sz val="6"/>
        <color rgb="FF000000"/>
        <rFont val="Symbol"/>
        <family val="1"/>
        <charset val="2"/>
      </rPr>
      <t>b</t>
    </r>
    <r>
      <rPr>
        <sz val="6"/>
        <color indexed="8"/>
        <rFont val="Arial"/>
        <family val="2"/>
      </rPr>
      <t>)</t>
    </r>
    <r>
      <rPr>
        <vertAlign val="superscript"/>
        <sz val="6"/>
        <color rgb="FF000000"/>
        <rFont val="Arial"/>
        <family val="2"/>
      </rPr>
      <t>-1/3</t>
    </r>
  </si>
  <si>
    <r>
      <t xml:space="preserve"> Vb ≈ </t>
    </r>
    <r>
      <rPr>
        <sz val="6"/>
        <color rgb="FF000000"/>
        <rFont val="Symbol"/>
        <family val="1"/>
        <charset val="2"/>
      </rPr>
      <t>b</t>
    </r>
    <r>
      <rPr>
        <sz val="6"/>
        <color indexed="8"/>
        <rFont val="Arial"/>
        <family val="2"/>
      </rPr>
      <t>*(44-RQD/2.5)</t>
    </r>
    <r>
      <rPr>
        <vertAlign val="superscript"/>
        <sz val="6"/>
        <color rgb="FF000000"/>
        <rFont val="Arial"/>
        <family val="2"/>
      </rPr>
      <t>-3</t>
    </r>
  </si>
  <si>
    <r>
      <t xml:space="preserve"> Vb ≈ </t>
    </r>
    <r>
      <rPr>
        <sz val="6"/>
        <color rgb="FF000000"/>
        <rFont val="Symbol"/>
        <family val="1"/>
        <charset val="2"/>
      </rPr>
      <t>b</t>
    </r>
    <r>
      <rPr>
        <sz val="6"/>
        <color indexed="8"/>
        <rFont val="Arial"/>
        <family val="2"/>
      </rPr>
      <t>*Jv</t>
    </r>
    <r>
      <rPr>
        <vertAlign val="superscript"/>
        <sz val="6"/>
        <color rgb="FF000000"/>
        <rFont val="Arial"/>
        <family val="2"/>
      </rPr>
      <t>-3</t>
    </r>
  </si>
  <si>
    <r>
      <t xml:space="preserve"> Jv ≈ (Vb/</t>
    </r>
    <r>
      <rPr>
        <sz val="6"/>
        <color rgb="FF000000"/>
        <rFont val="Symbol"/>
        <family val="1"/>
        <charset val="2"/>
      </rPr>
      <t>b</t>
    </r>
    <r>
      <rPr>
        <sz val="6"/>
        <color indexed="8"/>
        <rFont val="Arial"/>
        <family val="2"/>
      </rPr>
      <t>)</t>
    </r>
    <r>
      <rPr>
        <vertAlign val="superscript"/>
        <sz val="6"/>
        <color rgb="FF000000"/>
        <rFont val="Arial"/>
        <family val="2"/>
      </rPr>
      <t>-1/3</t>
    </r>
  </si>
  <si>
    <t xml:space="preserve"> Jv ≈ 44-RQD/2.5</t>
  </si>
  <si>
    <t xml:space="preserve">  jointing</t>
  </si>
  <si>
    <r>
      <t xml:space="preserve">RQD  </t>
    </r>
    <r>
      <rPr>
        <sz val="7"/>
        <color rgb="FF000000"/>
        <rFont val="Calibri"/>
        <family val="2"/>
        <scheme val="minor"/>
      </rPr>
      <t>=</t>
    </r>
  </si>
  <si>
    <r>
      <t xml:space="preserve">Vb </t>
    </r>
    <r>
      <rPr>
        <sz val="6"/>
        <color rgb="FF0000CC"/>
        <rFont val="Arial"/>
        <family val="2"/>
      </rPr>
      <t xml:space="preserve"> (in dm</t>
    </r>
    <r>
      <rPr>
        <vertAlign val="superscript"/>
        <sz val="6"/>
        <color rgb="FF0000CC"/>
        <rFont val="Arial"/>
        <family val="2"/>
      </rPr>
      <t>3</t>
    </r>
    <r>
      <rPr>
        <sz val="6"/>
        <color rgb="FF0000CC"/>
        <rFont val="Arial"/>
        <family val="2"/>
      </rPr>
      <t xml:space="preserve">) </t>
    </r>
    <r>
      <rPr>
        <sz val="7"/>
        <color rgb="FF0000CC"/>
        <rFont val="Arial"/>
        <family val="2"/>
      </rPr>
      <t>=</t>
    </r>
  </si>
  <si>
    <r>
      <t xml:space="preserve">Jv </t>
    </r>
    <r>
      <rPr>
        <sz val="7"/>
        <color rgb="FFFF0000"/>
        <rFont val="Calibri"/>
        <family val="2"/>
        <scheme val="minor"/>
      </rPr>
      <t xml:space="preserve"> =</t>
    </r>
  </si>
  <si>
    <r>
      <t>b</t>
    </r>
    <r>
      <rPr>
        <vertAlign val="superscript"/>
        <sz val="7"/>
        <color rgb="FF000000"/>
        <rFont val="Symbol"/>
        <family val="1"/>
        <charset val="2"/>
      </rPr>
      <t>*)</t>
    </r>
    <r>
      <rPr>
        <sz val="7"/>
        <color rgb="FF000000"/>
        <rFont val="Symbol"/>
        <family val="1"/>
        <charset val="2"/>
      </rPr>
      <t xml:space="preserve"> </t>
    </r>
    <r>
      <rPr>
        <sz val="7"/>
        <color rgb="FF000000"/>
        <rFont val="Calibri"/>
        <family val="2"/>
        <scheme val="minor"/>
      </rPr>
      <t xml:space="preserve"> =</t>
    </r>
  </si>
  <si>
    <r>
      <t xml:space="preserve">Type of structure  </t>
    </r>
    <r>
      <rPr>
        <sz val="7"/>
        <color rgb="FF000000"/>
        <rFont val="Arial"/>
        <family val="2"/>
      </rPr>
      <t>(see figure) =</t>
    </r>
  </si>
  <si>
    <r>
      <rPr>
        <sz val="7"/>
        <color rgb="FF000000"/>
        <rFont val="Arial"/>
        <family val="2"/>
      </rPr>
      <t>SL</t>
    </r>
    <r>
      <rPr>
        <vertAlign val="subscript"/>
        <sz val="5"/>
        <color rgb="FF000000"/>
        <rFont val="Arial"/>
        <family val="2"/>
      </rPr>
      <t xml:space="preserve"> </t>
    </r>
    <r>
      <rPr>
        <sz val="5"/>
        <color rgb="FF000000"/>
        <rFont val="Arial"/>
        <family val="2"/>
      </rPr>
      <t xml:space="preserve">or </t>
    </r>
    <r>
      <rPr>
        <sz val="7"/>
        <color rgb="FF000000"/>
        <rFont val="Arial"/>
        <family val="2"/>
      </rPr>
      <t>SRF</t>
    </r>
    <r>
      <rPr>
        <vertAlign val="subscript"/>
        <sz val="7"/>
        <color rgb="FF000000"/>
        <rFont val="Arial"/>
        <family val="2"/>
      </rPr>
      <t>s</t>
    </r>
    <r>
      <rPr>
        <sz val="7"/>
        <color rgb="FF000000"/>
        <rFont val="Arial"/>
        <family val="2"/>
      </rPr>
      <t xml:space="preserve"> =</t>
    </r>
  </si>
  <si>
    <t>F I E L D    O B S E R V A T I O N S</t>
  </si>
  <si>
    <t>at tunnel face</t>
  </si>
  <si>
    <t>of outcrop</t>
  </si>
  <si>
    <t>in tunnel</t>
  </si>
  <si>
    <t>of drill cores</t>
  </si>
  <si>
    <r>
      <t>Block shape factor  (</t>
    </r>
    <r>
      <rPr>
        <b/>
        <sz val="8"/>
        <rFont val="Symbol"/>
        <family val="1"/>
        <charset val="2"/>
      </rPr>
      <t>b</t>
    </r>
    <r>
      <rPr>
        <b/>
        <sz val="8"/>
        <rFont val="Arial"/>
        <family val="2"/>
      </rPr>
      <t>)</t>
    </r>
  </si>
  <si>
    <r>
      <t>Block shape factor (</t>
    </r>
    <r>
      <rPr>
        <sz val="8.0500000000000007"/>
        <rFont val="Symbol"/>
        <family val="1"/>
        <charset val="2"/>
      </rPr>
      <t>b</t>
    </r>
    <r>
      <rPr>
        <sz val="7"/>
        <rFont val="Arial"/>
        <family val="2"/>
      </rPr>
      <t>) is used in the calculations of block size (Vb), volumetric joint count (Jv), and RQD</t>
    </r>
  </si>
  <si>
    <t>Observation:</t>
  </si>
  <si>
    <t>INFORMATION</t>
  </si>
  <si>
    <t>- Vol. joint count</t>
  </si>
  <si>
    <t>Orientation of main</t>
  </si>
  <si>
    <t>joint set</t>
  </si>
  <si>
    <r>
      <t>RQD</t>
    </r>
    <r>
      <rPr>
        <sz val="5"/>
        <color theme="0" tint="-0.249977111117893"/>
        <rFont val="Calibri"/>
        <family val="2"/>
        <scheme val="minor"/>
      </rPr>
      <t xml:space="preserve"> used</t>
    </r>
    <r>
      <rPr>
        <sz val="8"/>
        <color theme="0" tint="-0.249977111117893"/>
        <rFont val="Calibri"/>
        <family val="2"/>
        <scheme val="minor"/>
      </rPr>
      <t xml:space="preserve"> =</t>
    </r>
  </si>
  <si>
    <r>
      <t>Jn</t>
    </r>
    <r>
      <rPr>
        <sz val="7"/>
        <color theme="0" tint="-0.249977111117893"/>
        <rFont val="Calibri"/>
        <family val="2"/>
        <scheme val="minor"/>
      </rPr>
      <t xml:space="preserve"> </t>
    </r>
    <r>
      <rPr>
        <vertAlign val="subscript"/>
        <sz val="7"/>
        <color theme="0" tint="-0.249977111117893"/>
        <rFont val="Calibri"/>
        <family val="2"/>
        <scheme val="minor"/>
      </rPr>
      <t>used</t>
    </r>
    <r>
      <rPr>
        <sz val="8"/>
        <color theme="0" tint="-0.249977111117893"/>
        <rFont val="Calibri"/>
        <family val="2"/>
        <scheme val="minor"/>
      </rPr>
      <t xml:space="preserve"> =</t>
    </r>
  </si>
  <si>
    <r>
      <t>Jr</t>
    </r>
    <r>
      <rPr>
        <vertAlign val="subscript"/>
        <sz val="8"/>
        <color theme="0" tint="-0.249977111117893"/>
        <rFont val="Calibri"/>
        <family val="2"/>
        <scheme val="minor"/>
      </rPr>
      <t xml:space="preserve"> </t>
    </r>
    <r>
      <rPr>
        <vertAlign val="subscript"/>
        <sz val="7"/>
        <color theme="0" tint="-0.249977111117893"/>
        <rFont val="Calibri"/>
        <family val="2"/>
        <scheme val="minor"/>
      </rPr>
      <t>used</t>
    </r>
    <r>
      <rPr>
        <sz val="7"/>
        <color theme="0" tint="-0.249977111117893"/>
        <rFont val="Calibri"/>
        <family val="2"/>
        <scheme val="minor"/>
      </rPr>
      <t xml:space="preserve"> </t>
    </r>
    <r>
      <rPr>
        <sz val="8"/>
        <color theme="0" tint="-0.249977111117893"/>
        <rFont val="Calibri"/>
        <family val="2"/>
        <scheme val="minor"/>
      </rPr>
      <t>=</t>
    </r>
  </si>
  <si>
    <r>
      <t>Ja</t>
    </r>
    <r>
      <rPr>
        <sz val="7"/>
        <color theme="0" tint="-0.249977111117893"/>
        <rFont val="Calibri"/>
        <family val="2"/>
        <scheme val="minor"/>
      </rPr>
      <t xml:space="preserve"> </t>
    </r>
    <r>
      <rPr>
        <sz val="5"/>
        <color theme="0" tint="-0.249977111117893"/>
        <rFont val="Calibri"/>
        <family val="2"/>
        <scheme val="minor"/>
      </rPr>
      <t>used</t>
    </r>
    <r>
      <rPr>
        <sz val="8"/>
        <color theme="0" tint="-0.249977111117893"/>
        <rFont val="Calibri"/>
        <family val="2"/>
        <scheme val="minor"/>
      </rPr>
      <t xml:space="preserve"> =</t>
    </r>
  </si>
  <si>
    <r>
      <t>SRF</t>
    </r>
    <r>
      <rPr>
        <vertAlign val="subscript"/>
        <sz val="7"/>
        <color theme="0" tint="-0.249977111117893"/>
        <rFont val="Calibri"/>
        <family val="2"/>
        <scheme val="minor"/>
      </rPr>
      <t xml:space="preserve">stress </t>
    </r>
    <r>
      <rPr>
        <sz val="7"/>
        <color theme="0" tint="-0.249977111117893"/>
        <rFont val="Calibri"/>
        <family val="2"/>
        <scheme val="minor"/>
      </rPr>
      <t>→</t>
    </r>
  </si>
  <si>
    <r>
      <t>← SRF</t>
    </r>
    <r>
      <rPr>
        <vertAlign val="subscript"/>
        <sz val="8"/>
        <color theme="0" tint="-0.249977111117893"/>
        <rFont val="Calibri"/>
        <family val="2"/>
        <scheme val="minor"/>
      </rPr>
      <t xml:space="preserve"> zone</t>
    </r>
  </si>
  <si>
    <r>
      <t>SRF</t>
    </r>
    <r>
      <rPr>
        <vertAlign val="subscript"/>
        <sz val="7"/>
        <color theme="0" tint="-0.249977111117893"/>
        <rFont val="Calibri"/>
        <family val="2"/>
        <scheme val="minor"/>
      </rPr>
      <t>wall</t>
    </r>
    <r>
      <rPr>
        <sz val="7"/>
        <color theme="0" tint="-0.249977111117893"/>
        <rFont val="Calibri"/>
        <family val="2"/>
        <scheme val="minor"/>
      </rPr>
      <t xml:space="preserve"> =</t>
    </r>
  </si>
  <si>
    <r>
      <t>Q</t>
    </r>
    <r>
      <rPr>
        <vertAlign val="subscript"/>
        <sz val="8"/>
        <color theme="0" tint="-0.249977111117893"/>
        <rFont val="Calibri"/>
        <family val="2"/>
        <scheme val="minor"/>
      </rPr>
      <t>wall</t>
    </r>
    <r>
      <rPr>
        <sz val="8"/>
        <color theme="0" tint="-0.249977111117893"/>
        <rFont val="Calibri"/>
        <family val="2"/>
        <scheme val="minor"/>
      </rPr>
      <t xml:space="preserve"> =</t>
    </r>
  </si>
  <si>
    <r>
      <t xml:space="preserve">support </t>
    </r>
    <r>
      <rPr>
        <sz val="8"/>
        <color theme="0" tint="-0.249977111117893"/>
        <rFont val="Calibri"/>
        <family val="2"/>
        <scheme val="minor"/>
      </rPr>
      <t>Q</t>
    </r>
    <r>
      <rPr>
        <vertAlign val="subscript"/>
        <sz val="8"/>
        <color theme="0" tint="-0.249977111117893"/>
        <rFont val="Calibri"/>
        <family val="2"/>
        <scheme val="minor"/>
      </rPr>
      <t>wall</t>
    </r>
    <r>
      <rPr>
        <sz val="8"/>
        <color theme="0" tint="-0.249977111117893"/>
        <rFont val="Calibri"/>
        <family val="2"/>
        <scheme val="minor"/>
      </rPr>
      <t xml:space="preserve"> =</t>
    </r>
  </si>
  <si>
    <r>
      <t xml:space="preserve">GPa   </t>
    </r>
    <r>
      <rPr>
        <sz val="7"/>
        <color theme="0" tint="-0.249977111117893"/>
        <rFont val="Arial"/>
        <family val="2"/>
      </rPr>
      <t>(for Q &gt; 1)</t>
    </r>
  </si>
  <si>
    <r>
      <t xml:space="preserve">A3 </t>
    </r>
    <r>
      <rPr>
        <sz val="6"/>
        <color theme="0" tint="-0.249977111117893"/>
        <rFont val="Calibri"/>
        <family val="2"/>
        <scheme val="minor"/>
      </rPr>
      <t>used</t>
    </r>
    <r>
      <rPr>
        <sz val="8"/>
        <color theme="0" tint="-0.249977111117893"/>
        <rFont val="Calibri"/>
        <family val="2"/>
        <scheme val="minor"/>
      </rPr>
      <t xml:space="preserve"> =</t>
    </r>
  </si>
  <si>
    <r>
      <rPr>
        <sz val="8"/>
        <color theme="0" tint="-0.249977111117893"/>
        <rFont val="Calibri"/>
        <family val="2"/>
        <scheme val="minor"/>
      </rPr>
      <t xml:space="preserve">Infilling+weathering </t>
    </r>
    <r>
      <rPr>
        <sz val="7"/>
        <color theme="0" tint="-0.249977111117893"/>
        <rFont val="Calibri"/>
        <family val="2"/>
        <scheme val="minor"/>
      </rPr>
      <t xml:space="preserve"> used =</t>
    </r>
  </si>
  <si>
    <r>
      <t>s</t>
    </r>
    <r>
      <rPr>
        <b/>
        <vertAlign val="subscript"/>
        <sz val="9"/>
        <color theme="0" tint="-0.249977111117893"/>
        <rFont val="Arial"/>
        <family val="2"/>
      </rPr>
      <t>c</t>
    </r>
    <r>
      <rPr>
        <b/>
        <sz val="9"/>
        <color theme="0" tint="-0.249977111117893"/>
        <rFont val="Arial"/>
        <family val="2"/>
      </rPr>
      <t xml:space="preserve"> =</t>
    </r>
  </si>
  <si>
    <r>
      <t>CF</t>
    </r>
    <r>
      <rPr>
        <vertAlign val="subscript"/>
        <sz val="7"/>
        <color theme="0" tint="-0.249977111117893"/>
        <rFont val="Calibri"/>
        <family val="2"/>
        <scheme val="minor"/>
      </rPr>
      <t>roof</t>
    </r>
    <r>
      <rPr>
        <sz val="7"/>
        <color theme="0" tint="-0.249977111117893"/>
        <rFont val="Calibri"/>
        <family val="2"/>
        <scheme val="minor"/>
      </rPr>
      <t xml:space="preserve"> =</t>
    </r>
  </si>
  <si>
    <r>
      <t>jR</t>
    </r>
    <r>
      <rPr>
        <b/>
        <sz val="7"/>
        <color theme="0" tint="-0.249977111117893"/>
        <rFont val="Calibri"/>
        <family val="2"/>
        <scheme val="minor"/>
      </rPr>
      <t xml:space="preserve"> </t>
    </r>
    <r>
      <rPr>
        <vertAlign val="subscript"/>
        <sz val="7"/>
        <color theme="0" tint="-0.249977111117893"/>
        <rFont val="Calibri"/>
        <family val="2"/>
        <scheme val="minor"/>
      </rPr>
      <t>used</t>
    </r>
    <r>
      <rPr>
        <b/>
        <sz val="8"/>
        <color theme="0" tint="-0.249977111117893"/>
        <rFont val="Calibri"/>
        <family val="2"/>
        <scheme val="minor"/>
      </rPr>
      <t xml:space="preserve"> =</t>
    </r>
  </si>
  <si>
    <r>
      <t>CF</t>
    </r>
    <r>
      <rPr>
        <vertAlign val="subscript"/>
        <sz val="7"/>
        <color theme="0" tint="-0.249977111117893"/>
        <rFont val="Calibri"/>
        <family val="2"/>
        <scheme val="minor"/>
      </rPr>
      <t>wall</t>
    </r>
    <r>
      <rPr>
        <sz val="7"/>
        <color theme="0" tint="-0.249977111117893"/>
        <rFont val="Calibri"/>
        <family val="2"/>
        <scheme val="minor"/>
      </rPr>
      <t xml:space="preserve"> =</t>
    </r>
  </si>
  <si>
    <r>
      <t>SL</t>
    </r>
    <r>
      <rPr>
        <vertAlign val="subscript"/>
        <sz val="8"/>
        <color theme="0" tint="-0.249977111117893"/>
        <rFont val="Calibri"/>
        <family val="2"/>
        <scheme val="minor"/>
      </rPr>
      <t>wall</t>
    </r>
    <r>
      <rPr>
        <sz val="8"/>
        <color theme="0" tint="-0.249977111117893"/>
        <rFont val="Calibri"/>
        <family val="2"/>
        <scheme val="minor"/>
      </rPr>
      <t xml:space="preserve"> =</t>
    </r>
  </si>
  <si>
    <r>
      <t>jA</t>
    </r>
    <r>
      <rPr>
        <b/>
        <sz val="7"/>
        <color theme="0" tint="-0.249977111117893"/>
        <rFont val="Calibri"/>
        <family val="2"/>
        <scheme val="minor"/>
      </rPr>
      <t xml:space="preserve"> </t>
    </r>
    <r>
      <rPr>
        <sz val="7"/>
        <color theme="0" tint="-0.249977111117893"/>
        <rFont val="Calibri"/>
        <family val="2"/>
        <scheme val="minor"/>
      </rPr>
      <t xml:space="preserve">used </t>
    </r>
    <r>
      <rPr>
        <b/>
        <sz val="8"/>
        <color theme="0" tint="-0.249977111117893"/>
        <rFont val="Calibri"/>
        <family val="2"/>
        <scheme val="minor"/>
      </rPr>
      <t>=</t>
    </r>
  </si>
  <si>
    <r>
      <t>Nj</t>
    </r>
    <r>
      <rPr>
        <b/>
        <sz val="7"/>
        <color theme="0" tint="-0.249977111117893"/>
        <rFont val="Calibri"/>
        <family val="2"/>
        <scheme val="minor"/>
      </rPr>
      <t xml:space="preserve"> </t>
    </r>
    <r>
      <rPr>
        <sz val="7"/>
        <color theme="0" tint="-0.249977111117893"/>
        <rFont val="Calibri"/>
        <family val="2"/>
        <scheme val="minor"/>
      </rPr>
      <t>used</t>
    </r>
    <r>
      <rPr>
        <b/>
        <sz val="8"/>
        <color theme="0" tint="-0.249977111117893"/>
        <rFont val="Calibri"/>
        <family val="2"/>
        <scheme val="minor"/>
      </rPr>
      <t xml:space="preserve"> =</t>
    </r>
  </si>
  <si>
    <r>
      <t>Co</t>
    </r>
    <r>
      <rPr>
        <b/>
        <vertAlign val="subscript"/>
        <sz val="8"/>
        <color theme="0" tint="-0.249977111117893"/>
        <rFont val="Calibri"/>
        <family val="2"/>
        <scheme val="minor"/>
      </rPr>
      <t xml:space="preserve">roof </t>
    </r>
    <r>
      <rPr>
        <b/>
        <sz val="8"/>
        <color theme="0" tint="-0.249977111117893"/>
        <rFont val="Calibri"/>
        <family val="2"/>
        <scheme val="minor"/>
      </rPr>
      <t xml:space="preserve"> =</t>
    </r>
  </si>
  <si>
    <r>
      <t>Co</t>
    </r>
    <r>
      <rPr>
        <b/>
        <vertAlign val="subscript"/>
        <sz val="8"/>
        <color theme="0" tint="-0.249977111117893"/>
        <rFont val="Calibri"/>
        <family val="2"/>
        <scheme val="minor"/>
      </rPr>
      <t>wall</t>
    </r>
    <r>
      <rPr>
        <b/>
        <sz val="8"/>
        <color theme="0" tint="-0.249977111117893"/>
        <rFont val="Calibri"/>
        <family val="2"/>
        <scheme val="minor"/>
      </rPr>
      <t xml:space="preserve"> =</t>
    </r>
  </si>
  <si>
    <r>
      <rPr>
        <sz val="6"/>
        <color theme="0" tint="-0.249977111117893"/>
        <rFont val="Calibri"/>
        <family val="2"/>
        <scheme val="minor"/>
      </rPr>
      <t xml:space="preserve">jointed </t>
    </r>
    <r>
      <rPr>
        <sz val="8"/>
        <color theme="0" tint="-0.249977111117893"/>
        <rFont val="Calibri"/>
        <family val="2"/>
        <scheme val="minor"/>
      </rPr>
      <t>RMi =</t>
    </r>
  </si>
  <si>
    <r>
      <t>Block volume (m</t>
    </r>
    <r>
      <rPr>
        <vertAlign val="superscript"/>
        <sz val="8"/>
        <color theme="0" tint="-0.249977111117893"/>
        <rFont val="Calibri"/>
        <family val="2"/>
        <scheme val="minor"/>
      </rPr>
      <t>3</t>
    </r>
    <r>
      <rPr>
        <sz val="8"/>
        <color theme="0" tint="-0.249977111117893"/>
        <rFont val="Calibri"/>
        <family val="2"/>
        <scheme val="minor"/>
      </rPr>
      <t>)</t>
    </r>
  </si>
  <si>
    <r>
      <rPr>
        <b/>
        <sz val="8"/>
        <color theme="0" tint="-0.249977111117893"/>
        <rFont val="Calibri"/>
        <family val="2"/>
        <scheme val="minor"/>
      </rPr>
      <t>Vb</t>
    </r>
    <r>
      <rPr>
        <sz val="8"/>
        <color theme="0" tint="-0.249977111117893"/>
        <rFont val="Calibri"/>
        <family val="2"/>
        <scheme val="minor"/>
      </rPr>
      <t xml:space="preserve"> </t>
    </r>
    <r>
      <rPr>
        <sz val="6"/>
        <color theme="0" tint="-0.249977111117893"/>
        <rFont val="Calibri"/>
        <family val="2"/>
        <scheme val="minor"/>
      </rPr>
      <t>used</t>
    </r>
    <r>
      <rPr>
        <sz val="8"/>
        <color theme="0" tint="-0.249977111117893"/>
        <rFont val="Calibri"/>
        <family val="2"/>
        <scheme val="minor"/>
      </rPr>
      <t xml:space="preserve"> =</t>
    </r>
  </si>
  <si>
    <r>
      <t>Gc</t>
    </r>
    <r>
      <rPr>
        <b/>
        <vertAlign val="subscript"/>
        <sz val="8"/>
        <color theme="0" tint="-0.249977111117893"/>
        <rFont val="Calibri"/>
        <family val="2"/>
        <scheme val="minor"/>
      </rPr>
      <t>roof</t>
    </r>
  </si>
  <si>
    <r>
      <rPr>
        <sz val="7"/>
        <color theme="0" tint="-0.249977111117893"/>
        <rFont val="Calibri"/>
        <family val="2"/>
        <scheme val="minor"/>
      </rPr>
      <t xml:space="preserve">used </t>
    </r>
    <r>
      <rPr>
        <b/>
        <sz val="8"/>
        <color theme="0" tint="-0.249977111117893"/>
        <rFont val="Calibri"/>
        <family val="2"/>
        <scheme val="minor"/>
      </rPr>
      <t>Gc</t>
    </r>
    <r>
      <rPr>
        <b/>
        <vertAlign val="subscript"/>
        <sz val="8"/>
        <color theme="0" tint="-0.249977111117893"/>
        <rFont val="Calibri"/>
        <family val="2"/>
        <scheme val="minor"/>
      </rPr>
      <t>roof</t>
    </r>
  </si>
  <si>
    <r>
      <t>Gc</t>
    </r>
    <r>
      <rPr>
        <b/>
        <vertAlign val="subscript"/>
        <sz val="8"/>
        <color theme="0" tint="-0.249977111117893"/>
        <rFont val="Calibri"/>
        <family val="2"/>
        <scheme val="minor"/>
      </rPr>
      <t>wall</t>
    </r>
  </si>
  <si>
    <r>
      <rPr>
        <sz val="7"/>
        <color theme="0" tint="-0.249977111117893"/>
        <rFont val="Calibri"/>
        <family val="2"/>
        <scheme val="minor"/>
      </rPr>
      <t xml:space="preserve">used </t>
    </r>
    <r>
      <rPr>
        <b/>
        <sz val="8"/>
        <color theme="0" tint="-0.249977111117893"/>
        <rFont val="Calibri"/>
        <family val="2"/>
        <scheme val="minor"/>
      </rPr>
      <t>Gc</t>
    </r>
    <r>
      <rPr>
        <b/>
        <vertAlign val="subscript"/>
        <sz val="8"/>
        <color theme="0" tint="-0.249977111117893"/>
        <rFont val="Calibri"/>
        <family val="2"/>
        <scheme val="minor"/>
      </rPr>
      <t>wall</t>
    </r>
  </si>
  <si>
    <r>
      <t>Sr</t>
    </r>
    <r>
      <rPr>
        <b/>
        <vertAlign val="subscript"/>
        <sz val="8"/>
        <color theme="0" tint="-0.249977111117893"/>
        <rFont val="Calibri"/>
        <family val="2"/>
        <scheme val="minor"/>
      </rPr>
      <t>roof</t>
    </r>
  </si>
  <si>
    <r>
      <rPr>
        <sz val="7"/>
        <color theme="0" tint="-0.249977111117893"/>
        <rFont val="Calibri"/>
        <family val="2"/>
        <scheme val="minor"/>
      </rPr>
      <t>used</t>
    </r>
    <r>
      <rPr>
        <b/>
        <sz val="8"/>
        <color theme="0" tint="-0.249977111117893"/>
        <rFont val="Calibri"/>
        <family val="2"/>
        <scheme val="minor"/>
      </rPr>
      <t xml:space="preserve"> Sr</t>
    </r>
    <r>
      <rPr>
        <b/>
        <vertAlign val="subscript"/>
        <sz val="8"/>
        <color theme="0" tint="-0.249977111117893"/>
        <rFont val="Calibri"/>
        <family val="2"/>
        <scheme val="minor"/>
      </rPr>
      <t>roof</t>
    </r>
  </si>
  <si>
    <r>
      <t>Sr</t>
    </r>
    <r>
      <rPr>
        <b/>
        <vertAlign val="subscript"/>
        <sz val="8"/>
        <color theme="0" tint="-0.249977111117893"/>
        <rFont val="Calibri"/>
        <family val="2"/>
        <scheme val="minor"/>
      </rPr>
      <t>wall</t>
    </r>
  </si>
  <si>
    <r>
      <rPr>
        <sz val="7"/>
        <color theme="0" tint="-0.249977111117893"/>
        <rFont val="Calibri"/>
        <family val="2"/>
        <scheme val="minor"/>
      </rPr>
      <t>used</t>
    </r>
    <r>
      <rPr>
        <b/>
        <sz val="8"/>
        <color theme="0" tint="-0.249977111117893"/>
        <rFont val="Calibri"/>
        <family val="2"/>
        <scheme val="minor"/>
      </rPr>
      <t xml:space="preserve"> Sr</t>
    </r>
    <r>
      <rPr>
        <b/>
        <vertAlign val="subscript"/>
        <sz val="8"/>
        <color theme="0" tint="-0.249977111117893"/>
        <rFont val="Calibri"/>
        <family val="2"/>
        <scheme val="minor"/>
      </rPr>
      <t>wall</t>
    </r>
  </si>
  <si>
    <r>
      <t>Vb</t>
    </r>
    <r>
      <rPr>
        <vertAlign val="subscript"/>
        <sz val="7"/>
        <color theme="0" tint="-0.249977111117893"/>
        <rFont val="Calibri"/>
        <family val="2"/>
        <scheme val="minor"/>
      </rPr>
      <t xml:space="preserve">z </t>
    </r>
    <r>
      <rPr>
        <sz val="7"/>
        <color theme="0" tint="-0.249977111117893"/>
        <rFont val="Calibri"/>
        <family val="2"/>
        <scheme val="minor"/>
      </rPr>
      <t>=</t>
    </r>
  </si>
  <si>
    <r>
      <t>Db</t>
    </r>
    <r>
      <rPr>
        <vertAlign val="subscript"/>
        <sz val="7"/>
        <color theme="0" tint="-0.249977111117893"/>
        <rFont val="Calibri"/>
        <family val="2"/>
        <scheme val="minor"/>
      </rPr>
      <t>z</t>
    </r>
    <r>
      <rPr>
        <sz val="7"/>
        <color theme="0" tint="-0.249977111117893"/>
        <rFont val="Calibri"/>
        <family val="2"/>
        <scheme val="minor"/>
      </rPr>
      <t xml:space="preserve"> =</t>
    </r>
  </si>
  <si>
    <r>
      <t>Nj</t>
    </r>
    <r>
      <rPr>
        <vertAlign val="subscript"/>
        <sz val="7"/>
        <color theme="0" tint="-0.249977111117893"/>
        <rFont val="Calibri"/>
        <family val="2"/>
        <scheme val="minor"/>
      </rPr>
      <t>z</t>
    </r>
    <r>
      <rPr>
        <sz val="7"/>
        <color theme="0" tint="-0.249977111117893"/>
        <rFont val="Calibri"/>
        <family val="2"/>
        <scheme val="minor"/>
      </rPr>
      <t xml:space="preserve"> =</t>
    </r>
  </si>
  <si>
    <r>
      <t>jA</t>
    </r>
    <r>
      <rPr>
        <vertAlign val="subscript"/>
        <sz val="7"/>
        <color theme="0" tint="-0.249977111117893"/>
        <rFont val="Calibri"/>
        <family val="2"/>
        <scheme val="minor"/>
      </rPr>
      <t xml:space="preserve">z </t>
    </r>
    <r>
      <rPr>
        <sz val="7"/>
        <color theme="0" tint="-0.249977111117893"/>
        <rFont val="Calibri"/>
        <family val="2"/>
        <scheme val="minor"/>
      </rPr>
      <t>=</t>
    </r>
  </si>
  <si>
    <r>
      <t>jC</t>
    </r>
    <r>
      <rPr>
        <vertAlign val="subscript"/>
        <sz val="7"/>
        <color theme="0" tint="-0.249977111117893"/>
        <rFont val="Calibri"/>
        <family val="2"/>
        <scheme val="minor"/>
      </rPr>
      <t>z</t>
    </r>
    <r>
      <rPr>
        <sz val="7"/>
        <color theme="0" tint="-0.249977111117893"/>
        <rFont val="Calibri"/>
        <family val="2"/>
        <scheme val="minor"/>
      </rPr>
      <t xml:space="preserve"> =</t>
    </r>
  </si>
  <si>
    <r>
      <t>Co</t>
    </r>
    <r>
      <rPr>
        <vertAlign val="subscript"/>
        <sz val="8"/>
        <color theme="0" tint="-0.249977111117893"/>
        <rFont val="Calibri"/>
        <family val="2"/>
        <scheme val="minor"/>
      </rPr>
      <t>z</t>
    </r>
    <r>
      <rPr>
        <sz val="8"/>
        <color theme="0" tint="-0.249977111117893"/>
        <rFont val="Calibri"/>
        <family val="2"/>
        <scheme val="minor"/>
      </rPr>
      <t xml:space="preserve"> =</t>
    </r>
  </si>
  <si>
    <r>
      <rPr>
        <sz val="9"/>
        <color theme="0" tint="-0.249977111117893"/>
        <rFont val="Calibri"/>
        <family val="2"/>
        <scheme val="minor"/>
      </rPr>
      <t xml:space="preserve">RMi  </t>
    </r>
    <r>
      <rPr>
        <sz val="8"/>
        <color theme="0" tint="-0.249977111117893"/>
        <rFont val="Calibri"/>
        <family val="2"/>
        <scheme val="minor"/>
      </rPr>
      <t>in  weak zone</t>
    </r>
  </si>
  <si>
    <r>
      <rPr>
        <sz val="7"/>
        <color theme="0" tint="-0.249977111117893"/>
        <rFont val="Calibri"/>
        <family val="2"/>
        <scheme val="minor"/>
      </rPr>
      <t>zone</t>
    </r>
    <r>
      <rPr>
        <sz val="8"/>
        <color theme="0" tint="-0.249977111117893"/>
        <rFont val="Calibri"/>
        <family val="2"/>
        <scheme val="minor"/>
      </rPr>
      <t xml:space="preserve"> RMi</t>
    </r>
    <r>
      <rPr>
        <vertAlign val="subscript"/>
        <sz val="8"/>
        <color theme="0" tint="-0.249977111117893"/>
        <rFont val="Calibri"/>
        <family val="2"/>
        <scheme val="minor"/>
      </rPr>
      <t>z</t>
    </r>
    <r>
      <rPr>
        <sz val="8"/>
        <color theme="0" tint="-0.249977111117893"/>
        <rFont val="Calibri"/>
        <family val="2"/>
        <scheme val="minor"/>
      </rPr>
      <t xml:space="preserve"> =</t>
    </r>
  </si>
  <si>
    <r>
      <rPr>
        <sz val="7"/>
        <color theme="0" tint="-0.249977111117893"/>
        <rFont val="Calibri"/>
        <family val="2"/>
        <scheme val="minor"/>
      </rPr>
      <t>interaction</t>
    </r>
    <r>
      <rPr>
        <sz val="8"/>
        <color theme="0" tint="-0.249977111117893"/>
        <rFont val="Calibri"/>
        <family val="2"/>
        <scheme val="minor"/>
      </rPr>
      <t xml:space="preserve"> RMi</t>
    </r>
    <r>
      <rPr>
        <vertAlign val="subscript"/>
        <sz val="8"/>
        <color theme="0" tint="-0.249977111117893"/>
        <rFont val="Calibri"/>
        <family val="2"/>
        <scheme val="minor"/>
      </rPr>
      <t>m</t>
    </r>
    <r>
      <rPr>
        <sz val="8"/>
        <color theme="0" tint="-0.249977111117893"/>
        <rFont val="Calibri"/>
        <family val="2"/>
        <scheme val="minor"/>
      </rPr>
      <t xml:space="preserve"> =</t>
    </r>
  </si>
  <si>
    <r>
      <t>resulting RMi</t>
    </r>
    <r>
      <rPr>
        <vertAlign val="subscript"/>
        <sz val="7"/>
        <color theme="0" tint="-0.249977111117893"/>
        <rFont val="Calibri"/>
        <family val="2"/>
        <scheme val="minor"/>
      </rPr>
      <t>zone</t>
    </r>
    <r>
      <rPr>
        <sz val="7"/>
        <color theme="0" tint="-0.249977111117893"/>
        <rFont val="Calibri"/>
        <family val="2"/>
        <scheme val="minor"/>
      </rPr>
      <t xml:space="preserve"> =</t>
    </r>
  </si>
  <si>
    <r>
      <rPr>
        <b/>
        <sz val="8"/>
        <color theme="0" tint="-0.249977111117893"/>
        <rFont val="Calibri"/>
        <family val="2"/>
        <scheme val="minor"/>
      </rPr>
      <t>Rockmass deformation modulus</t>
    </r>
    <r>
      <rPr>
        <sz val="8"/>
        <color theme="0" tint="-0.249977111117893"/>
        <rFont val="Calibri"/>
        <family val="2"/>
        <scheme val="minor"/>
      </rPr>
      <t xml:space="preserve">                                     </t>
    </r>
    <r>
      <rPr>
        <sz val="7"/>
        <color theme="0" tint="-0.249977111117893"/>
        <rFont val="Calibri"/>
        <family val="2"/>
        <scheme val="minor"/>
      </rPr>
      <t>(calculated from RMi)</t>
    </r>
  </si>
  <si>
    <r>
      <t xml:space="preserve">GPa </t>
    </r>
    <r>
      <rPr>
        <sz val="6"/>
        <color theme="0" tint="-0.249977111117893"/>
        <rFont val="Calibri"/>
        <family val="2"/>
        <scheme val="minor"/>
      </rPr>
      <t>(new eq. RMi)</t>
    </r>
  </si>
  <si>
    <r>
      <t xml:space="preserve">GPa </t>
    </r>
    <r>
      <rPr>
        <sz val="6"/>
        <color theme="0" tint="-0.249977111117893"/>
        <rFont val="Calibri"/>
        <family val="2"/>
        <scheme val="minor"/>
      </rPr>
      <t>(old eq. RMi )</t>
    </r>
  </si>
  <si>
    <r>
      <t xml:space="preserve">Em </t>
    </r>
    <r>
      <rPr>
        <sz val="6"/>
        <color theme="0" tint="-0.249977111117893"/>
        <rFont val="Calibri"/>
        <family val="2"/>
        <scheme val="minor"/>
      </rPr>
      <t>(max)</t>
    </r>
    <r>
      <rPr>
        <sz val="8"/>
        <color theme="0" tint="-0.249977111117893"/>
        <rFont val="Calibri"/>
        <family val="2"/>
        <scheme val="minor"/>
      </rPr>
      <t xml:space="preserve"> =</t>
    </r>
  </si>
  <si>
    <r>
      <t xml:space="preserve">GPa   </t>
    </r>
    <r>
      <rPr>
        <sz val="7"/>
        <color theme="0" tint="-0.249977111117893"/>
        <rFont val="Calibri"/>
        <family val="2"/>
        <scheme val="minor"/>
      </rPr>
      <t xml:space="preserve"> (Em = 0.2*</t>
    </r>
    <r>
      <rPr>
        <sz val="6"/>
        <color theme="0" tint="-0.249977111117893"/>
        <rFont val="Calibri"/>
        <family val="2"/>
        <scheme val="minor"/>
      </rPr>
      <t>UCS</t>
    </r>
    <r>
      <rPr>
        <sz val="7"/>
        <color theme="0" tint="-0.249977111117893"/>
        <rFont val="Calibri"/>
        <family val="2"/>
        <scheme val="minor"/>
      </rPr>
      <t>)</t>
    </r>
  </si>
  <si>
    <r>
      <t>Average rock UCS</t>
    </r>
    <r>
      <rPr>
        <vertAlign val="subscript"/>
        <sz val="8"/>
        <color theme="0" tint="-0.249977111117893"/>
        <rFont val="Calibri"/>
        <family val="2"/>
        <scheme val="minor"/>
      </rPr>
      <t>z</t>
    </r>
    <r>
      <rPr>
        <sz val="8"/>
        <color theme="0" tint="-0.249977111117893"/>
        <rFont val="Calibri"/>
        <family val="2"/>
        <scheme val="minor"/>
      </rPr>
      <t xml:space="preserve">                           </t>
    </r>
    <r>
      <rPr>
        <sz val="7"/>
        <color theme="0" tint="-0.249977111117893"/>
        <rFont val="Calibri"/>
        <family val="2"/>
        <scheme val="minor"/>
      </rPr>
      <t>(MPa)</t>
    </r>
  </si>
  <si>
    <r>
      <t>Average joint condition factor jC</t>
    </r>
    <r>
      <rPr>
        <vertAlign val="subscript"/>
        <sz val="8"/>
        <color theme="0" tint="-0.249977111117893"/>
        <rFont val="Calibri"/>
        <family val="2"/>
        <scheme val="minor"/>
      </rPr>
      <t>z</t>
    </r>
  </si>
  <si>
    <r>
      <t>Block diam. (Db</t>
    </r>
    <r>
      <rPr>
        <vertAlign val="subscript"/>
        <sz val="8"/>
        <color theme="0" tint="-0.249977111117893"/>
        <rFont val="Calibri"/>
        <family val="2"/>
        <scheme val="minor"/>
      </rPr>
      <t>z</t>
    </r>
    <r>
      <rPr>
        <sz val="8"/>
        <color theme="0" tint="-0.249977111117893"/>
        <rFont val="Calibri"/>
        <family val="2"/>
        <scheme val="minor"/>
      </rPr>
      <t>)</t>
    </r>
  </si>
  <si>
    <r>
      <t>Vb</t>
    </r>
    <r>
      <rPr>
        <b/>
        <vertAlign val="subscript"/>
        <sz val="8"/>
        <color theme="0" tint="-0.249977111117893"/>
        <rFont val="Calibri"/>
        <family val="2"/>
        <scheme val="minor"/>
      </rPr>
      <t>z</t>
    </r>
    <r>
      <rPr>
        <b/>
        <sz val="8"/>
        <color theme="0" tint="-0.249977111117893"/>
        <rFont val="Calibri"/>
        <family val="2"/>
        <scheme val="minor"/>
      </rPr>
      <t xml:space="preserve"> </t>
    </r>
    <r>
      <rPr>
        <sz val="8"/>
        <color theme="0" tint="-0.249977111117893"/>
        <rFont val="Calibri"/>
        <family val="2"/>
        <scheme val="minor"/>
      </rPr>
      <t xml:space="preserve"> ( m³ )</t>
    </r>
  </si>
  <si>
    <r>
      <t>RMi</t>
    </r>
    <r>
      <rPr>
        <b/>
        <vertAlign val="subscript"/>
        <sz val="8"/>
        <color theme="0" tint="-0.249977111117893"/>
        <rFont val="Calibri"/>
        <family val="2"/>
        <scheme val="minor"/>
      </rPr>
      <t>z</t>
    </r>
  </si>
  <si>
    <r>
      <t>Classification of block size (in m</t>
    </r>
    <r>
      <rPr>
        <b/>
        <vertAlign val="superscript"/>
        <sz val="9"/>
        <color theme="0" tint="-0.249977111117893"/>
        <rFont val="Arial"/>
        <family val="2"/>
      </rPr>
      <t xml:space="preserve">3 </t>
    </r>
    <r>
      <rPr>
        <b/>
        <sz val="9"/>
        <color theme="0" tint="-0.249977111117893"/>
        <rFont val="Arial"/>
        <family val="2"/>
      </rPr>
      <t>):</t>
    </r>
  </si>
  <si>
    <r>
      <t>assumed</t>
    </r>
    <r>
      <rPr>
        <vertAlign val="superscript"/>
        <sz val="8"/>
        <color theme="0" tint="-0.249977111117893"/>
        <rFont val="Arial Narrow"/>
        <family val="2"/>
      </rPr>
      <t>*)</t>
    </r>
  </si>
  <si>
    <r>
      <rPr>
        <vertAlign val="superscript"/>
        <sz val="7"/>
        <color theme="0" tint="-0.34998626667073579"/>
        <rFont val="Arial"/>
        <family val="2"/>
      </rPr>
      <t>*)</t>
    </r>
    <r>
      <rPr>
        <sz val="7"/>
        <color theme="0" tint="-0.34998626667073579"/>
        <rFont val="Arial"/>
        <family val="2"/>
      </rPr>
      <t>Adjustments can be made</t>
    </r>
  </si>
  <si>
    <t>here</t>
  </si>
  <si>
    <t>Assumptions</t>
  </si>
  <si>
    <t>1 - 1.8</t>
  </si>
  <si>
    <t>1.8 - 3</t>
  </si>
  <si>
    <t>3 - 6</t>
  </si>
  <si>
    <t>6 - 17</t>
  </si>
  <si>
    <t>&gt; 17</t>
  </si>
  <si>
    <t>Slightly long and/or flat blocks</t>
  </si>
  <si>
    <t>Moderately long and/or flat</t>
  </si>
  <si>
    <t>Very long and/or flat blocks</t>
  </si>
  <si>
    <t>Extremely long and/or flat blocks</t>
  </si>
  <si>
    <t>27-30</t>
  </si>
  <si>
    <t>30-38</t>
  </si>
  <si>
    <t>38-60</t>
  </si>
  <si>
    <t>60-150</t>
  </si>
  <si>
    <t>&gt;150</t>
  </si>
  <si>
    <r>
      <rPr>
        <sz val="8"/>
        <color rgb="FF000000"/>
        <rFont val="Symbol"/>
        <family val="1"/>
        <charset val="2"/>
      </rPr>
      <t>b</t>
    </r>
    <r>
      <rPr>
        <sz val="7"/>
        <color indexed="8"/>
        <rFont val="Arial"/>
        <family val="2"/>
      </rPr>
      <t xml:space="preserve"> =</t>
    </r>
  </si>
  <si>
    <r>
      <t xml:space="preserve">Classification: </t>
    </r>
    <r>
      <rPr>
        <sz val="6"/>
        <color rgb="FF000000"/>
        <rFont val="Symbol"/>
        <family val="1"/>
        <charset val="2"/>
      </rPr>
      <t>b</t>
    </r>
    <r>
      <rPr>
        <sz val="6"/>
        <color indexed="8"/>
        <rFont val="Arial"/>
        <family val="2"/>
      </rPr>
      <t xml:space="preserve"> = 27 - 30 for cubical blocks, </t>
    </r>
    <r>
      <rPr>
        <sz val="6"/>
        <color rgb="FF000000"/>
        <rFont val="Symbol"/>
        <family val="1"/>
        <charset val="2"/>
      </rPr>
      <t>b</t>
    </r>
    <r>
      <rPr>
        <sz val="6"/>
        <color indexed="8"/>
        <rFont val="Arial"/>
        <family val="2"/>
      </rPr>
      <t xml:space="preserve"> = 30 - 38 for slightly long or flat blocks, </t>
    </r>
    <r>
      <rPr>
        <sz val="6"/>
        <color rgb="FF000000"/>
        <rFont val="Symbol"/>
        <family val="1"/>
        <charset val="2"/>
      </rPr>
      <t>b</t>
    </r>
    <r>
      <rPr>
        <sz val="6"/>
        <color indexed="8"/>
        <rFont val="Arial"/>
        <family val="2"/>
      </rPr>
      <t xml:space="preserve"> = 38 - 60 for moderately long or flat blocks.</t>
    </r>
  </si>
  <si>
    <t>If no value of weakness zone thickness is given,</t>
  </si>
  <si>
    <t>Massive rockmasses occur when block volume Vb &gt;</t>
  </si>
  <si>
    <t>NOTE:</t>
  </si>
  <si>
    <t xml:space="preserve">Limitation of RMi: </t>
  </si>
  <si>
    <t>Limitation of RMR:</t>
  </si>
  <si>
    <t>Limitation of Q:</t>
  </si>
  <si>
    <r>
      <t xml:space="preserve"> Block shape factor </t>
    </r>
    <r>
      <rPr>
        <sz val="8"/>
        <rFont val="Symbol"/>
        <family val="1"/>
        <charset val="2"/>
      </rPr>
      <t>(b)</t>
    </r>
  </si>
  <si>
    <r>
      <rPr>
        <sz val="7"/>
        <rFont val="Symbol"/>
        <family val="1"/>
        <charset val="2"/>
      </rPr>
      <t>b</t>
    </r>
    <r>
      <rPr>
        <sz val="7"/>
        <rFont val="Arial"/>
        <family val="2"/>
      </rPr>
      <t xml:space="preserve"> =</t>
    </r>
  </si>
  <si>
    <t>of zone and adjacent rockmass</t>
  </si>
  <si>
    <t>silt, sand joint fill</t>
  </si>
  <si>
    <t>hard clay joint fill</t>
  </si>
  <si>
    <t>soft clay joint fill</t>
  </si>
  <si>
    <t>swelling clay joint fill</t>
  </si>
  <si>
    <t>Av. joint cond. factor</t>
  </si>
  <si>
    <r>
      <t>dm</t>
    </r>
    <r>
      <rPr>
        <vertAlign val="superscript"/>
        <sz val="7"/>
        <color theme="0" tint="-0.249977111117893"/>
        <rFont val="Calibri"/>
        <family val="2"/>
        <scheme val="minor"/>
      </rPr>
      <t>3</t>
    </r>
    <r>
      <rPr>
        <sz val="7"/>
        <color theme="0" tint="-0.249977111117893"/>
        <rFont val="Calibri"/>
        <family val="2"/>
        <scheme val="minor"/>
      </rPr>
      <t xml:space="preserve">          =</t>
    </r>
  </si>
  <si>
    <t>Average rock fragment size or block size in the weakness zone</t>
  </si>
  <si>
    <t>Crushed zone, with clayey joints</t>
  </si>
  <si>
    <t>Filled joint materials →</t>
  </si>
  <si>
    <t>(Blue numbers and blue text can be adjusted)</t>
  </si>
  <si>
    <t>and tunnel span &gt;10 m.</t>
  </si>
  <si>
    <t>If no information on wall height,</t>
  </si>
  <si>
    <t>If no information on tunnel span is given,</t>
  </si>
  <si>
    <t>Used in calculations →</t>
  </si>
  <si>
    <r>
      <t>NOTE: For type (i) Filled weakness zones, the RMi</t>
    </r>
    <r>
      <rPr>
        <vertAlign val="subscript"/>
        <sz val="8"/>
        <color theme="0" tint="-0.249977111117893"/>
        <rFont val="Calibri"/>
        <family val="2"/>
        <scheme val="minor"/>
      </rPr>
      <t>z</t>
    </r>
    <r>
      <rPr>
        <sz val="8"/>
        <color theme="0" tint="-0.249977111117893"/>
        <rFont val="Calibri"/>
        <family val="2"/>
        <scheme val="minor"/>
      </rPr>
      <t xml:space="preserve"> ≈  UCS</t>
    </r>
    <r>
      <rPr>
        <vertAlign val="subscript"/>
        <sz val="8"/>
        <color theme="0" tint="-0.249977111117893"/>
        <rFont val="Calibri"/>
        <family val="2"/>
        <scheme val="minor"/>
      </rPr>
      <t xml:space="preserve">z </t>
    </r>
    <r>
      <rPr>
        <sz val="8"/>
        <color theme="0" tint="-0.249977111117893"/>
        <rFont val="Calibri"/>
        <family val="2"/>
      </rPr>
      <t>×</t>
    </r>
    <r>
      <rPr>
        <sz val="8"/>
        <color theme="0" tint="-0.249977111117893"/>
        <rFont val="Calibri"/>
        <family val="2"/>
        <scheme val="minor"/>
      </rPr>
      <t xml:space="preserve"> f</t>
    </r>
    <r>
      <rPr>
        <vertAlign val="subscript"/>
        <sz val="8"/>
        <color theme="0" tint="-0.249977111117893"/>
        <rFont val="Symbol"/>
        <family val="1"/>
        <charset val="2"/>
      </rPr>
      <t>s</t>
    </r>
  </si>
  <si>
    <t>NOTE: For type i, 'Zone filled with soft material', a "fictive" value of Vbz = 0.001 is used</t>
  </si>
  <si>
    <t>WEAKNESS / FAULT ZONE</t>
  </si>
  <si>
    <t>Blue numbers can be adjusted</t>
  </si>
  <si>
    <t>(no joints in soft fill)</t>
  </si>
  <si>
    <r>
      <rPr>
        <sz val="7"/>
        <color rgb="FF0000CC"/>
        <rFont val="Arial"/>
        <family val="2"/>
      </rPr>
      <t>For filled zone, RMi</t>
    </r>
    <r>
      <rPr>
        <vertAlign val="subscript"/>
        <sz val="7"/>
        <color rgb="FF0000CC"/>
        <rFont val="Arial"/>
        <family val="2"/>
      </rPr>
      <t>z</t>
    </r>
    <r>
      <rPr>
        <sz val="7"/>
        <color rgb="FF0000CC"/>
        <rFont val="Arial"/>
        <family val="2"/>
      </rPr>
      <t xml:space="preserve"> ≈ </t>
    </r>
    <r>
      <rPr>
        <sz val="7"/>
        <color rgb="FF0000CC"/>
        <rFont val="Symbol"/>
        <family val="1"/>
        <charset val="2"/>
      </rPr>
      <t>s</t>
    </r>
    <r>
      <rPr>
        <vertAlign val="subscript"/>
        <sz val="7"/>
        <color rgb="FF0000CC"/>
        <rFont val="Arial"/>
        <family val="2"/>
      </rPr>
      <t>c</t>
    </r>
    <r>
      <rPr>
        <sz val="7"/>
        <color rgb="FF0000CC"/>
        <rFont val="Arial"/>
        <family val="2"/>
      </rPr>
      <t xml:space="preserve"> × f</t>
    </r>
    <r>
      <rPr>
        <vertAlign val="subscript"/>
        <sz val="7"/>
        <color rgb="FF0000CC"/>
        <rFont val="Symbol"/>
        <family val="1"/>
        <charset val="2"/>
      </rPr>
      <t>s</t>
    </r>
  </si>
  <si>
    <r>
      <t xml:space="preserve">Common values  are  shown with </t>
    </r>
    <r>
      <rPr>
        <b/>
        <i/>
        <sz val="9"/>
        <rFont val="Arial Black"/>
        <family val="2"/>
      </rPr>
      <t>bold</t>
    </r>
    <r>
      <rPr>
        <b/>
        <i/>
        <sz val="9"/>
        <rFont val="Arial"/>
        <family val="2"/>
      </rPr>
      <t xml:space="preserve"> </t>
    </r>
    <r>
      <rPr>
        <i/>
        <sz val="9"/>
        <rFont val="Arial"/>
        <family val="2"/>
      </rPr>
      <t>numbers or letters</t>
    </r>
  </si>
  <si>
    <r>
      <t xml:space="preserve">Joint wall smoothness </t>
    </r>
    <r>
      <rPr>
        <sz val="7"/>
        <color indexed="8"/>
        <rFont val="Calibri"/>
        <family val="2"/>
        <scheme val="minor"/>
      </rPr>
      <t>(small scale roughness)  (called 'roughness' in the RMR)</t>
    </r>
  </si>
  <si>
    <r>
      <t xml:space="preserve">Orientation of main joint set </t>
    </r>
    <r>
      <rPr>
        <b/>
        <sz val="7"/>
        <rFont val="Arial"/>
        <family val="2"/>
      </rPr>
      <t xml:space="preserve"> </t>
    </r>
    <r>
      <rPr>
        <sz val="7"/>
        <rFont val="Arial"/>
        <family val="2"/>
      </rPr>
      <t>(C3 in roof; C4 in walls)</t>
    </r>
  </si>
  <si>
    <r>
      <t xml:space="preserve">Joint plane undulation or waviness </t>
    </r>
    <r>
      <rPr>
        <sz val="7"/>
        <color rgb="FF000000"/>
        <rFont val="Arial"/>
        <family val="2"/>
      </rPr>
      <t>(large scale roughness)</t>
    </r>
  </si>
  <si>
    <r>
      <t xml:space="preserve">NOTE: blue </t>
    </r>
    <r>
      <rPr>
        <b/>
        <i/>
        <u/>
        <sz val="9"/>
        <color indexed="12"/>
        <rFont val="Arial"/>
        <family val="2"/>
      </rPr>
      <t>letters</t>
    </r>
    <r>
      <rPr>
        <b/>
        <i/>
        <sz val="9"/>
        <color rgb="FF0000FF"/>
        <rFont val="Arial"/>
        <family val="2"/>
      </rPr>
      <t xml:space="preserve"> and </t>
    </r>
    <r>
      <rPr>
        <b/>
        <i/>
        <u/>
        <sz val="9"/>
        <color indexed="12"/>
        <rFont val="Arial"/>
        <family val="2"/>
      </rPr>
      <t>numbers</t>
    </r>
    <r>
      <rPr>
        <b/>
        <i/>
        <sz val="9"/>
        <color indexed="12"/>
        <rFont val="Arial"/>
        <family val="2"/>
      </rPr>
      <t xml:space="preserve"> can be adjusted</t>
    </r>
  </si>
  <si>
    <t>Zones filled with sand or pebbles are not included in the RMi system</t>
  </si>
  <si>
    <r>
      <t>Classification of the block shape factor (</t>
    </r>
    <r>
      <rPr>
        <i/>
        <sz val="10"/>
        <rFont val="Symbol"/>
        <family val="1"/>
        <charset val="2"/>
      </rPr>
      <t>b</t>
    </r>
    <r>
      <rPr>
        <i/>
        <sz val="10"/>
        <rFont val="Arial"/>
        <family val="2"/>
      </rPr>
      <t>)</t>
    </r>
  </si>
  <si>
    <t>Input ↓ used</t>
  </si>
  <si>
    <r>
      <t xml:space="preserve">Type of joint </t>
    </r>
    <r>
      <rPr>
        <sz val="7"/>
        <rFont val="Arial"/>
        <family val="2"/>
      </rPr>
      <t xml:space="preserve"> (joint length)</t>
    </r>
  </si>
  <si>
    <r>
      <t xml:space="preserve">Joint aperture  </t>
    </r>
    <r>
      <rPr>
        <sz val="7"/>
        <rFont val="Arial"/>
        <family val="2"/>
      </rPr>
      <t>(separation)</t>
    </r>
  </si>
  <si>
    <r>
      <t xml:space="preserve">JOINTED ROCK MASSES </t>
    </r>
    <r>
      <rPr>
        <sz val="8"/>
        <color rgb="FF000000"/>
        <rFont val="Calibri"/>
        <family val="2"/>
        <scheme val="minor"/>
      </rPr>
      <t xml:space="preserve">(outside weakness </t>
    </r>
    <r>
      <rPr>
        <sz val="7"/>
        <color rgb="FF000000"/>
        <rFont val="Calibri"/>
        <family val="2"/>
        <scheme val="minor"/>
      </rPr>
      <t>or</t>
    </r>
    <r>
      <rPr>
        <sz val="8"/>
        <color rgb="FF000000"/>
        <rFont val="Calibri"/>
        <family val="2"/>
        <scheme val="minor"/>
      </rPr>
      <t xml:space="preserve"> fault zones)</t>
    </r>
  </si>
  <si>
    <t>Note: Green cells are for input</t>
  </si>
  <si>
    <t>Green cells are for input</t>
  </si>
  <si>
    <r>
      <t xml:space="preserve">Orientation of the zone   </t>
    </r>
    <r>
      <rPr>
        <sz val="7"/>
        <color rgb="FF0000CC"/>
        <rFont val="Arial"/>
        <family val="2"/>
      </rPr>
      <t>related to tunnel axis</t>
    </r>
  </si>
  <si>
    <t>fresh joints/no filling</t>
  </si>
  <si>
    <t>slightly altered joints</t>
  </si>
  <si>
    <t>silty coating</t>
  </si>
  <si>
    <t>clayey coating</t>
  </si>
  <si>
    <t>&lt; 1 mm (tight)</t>
  </si>
  <si>
    <t>very high DJ</t>
  </si>
  <si>
    <t>Small blocks</t>
  </si>
  <si>
    <t>highly jointed</t>
  </si>
  <si>
    <t>moder. jointed</t>
  </si>
  <si>
    <r>
      <t>Moderately/medium sized blocks                  in dm</t>
    </r>
    <r>
      <rPr>
        <vertAlign val="superscript"/>
        <sz val="7"/>
        <color rgb="FF000000"/>
        <rFont val="Arial"/>
        <family val="2"/>
      </rPr>
      <t>3</t>
    </r>
  </si>
  <si>
    <t>Width of zone in metre</t>
  </si>
  <si>
    <r>
      <t xml:space="preserve">Jn </t>
    </r>
    <r>
      <rPr>
        <sz val="5"/>
        <color rgb="FF000000"/>
        <rFont val="Arial"/>
        <family val="2"/>
      </rPr>
      <t>or</t>
    </r>
    <r>
      <rPr>
        <sz val="7"/>
        <color indexed="8"/>
        <rFont val="Arial"/>
        <family val="2"/>
      </rPr>
      <t xml:space="preserve"> Nj =</t>
    </r>
  </si>
  <si>
    <t>is used.</t>
  </si>
  <si>
    <r>
      <t>Table: Typical values of the input parameters in weakness (fault) zones determining the rock mass index (RMi</t>
    </r>
    <r>
      <rPr>
        <vertAlign val="subscript"/>
        <sz val="9"/>
        <color theme="1"/>
        <rFont val="Arial"/>
        <family val="2"/>
      </rPr>
      <t>z</t>
    </r>
    <r>
      <rPr>
        <sz val="9"/>
        <color theme="1"/>
        <rFont val="Arial"/>
        <family val="2"/>
      </rPr>
      <t>) for zones</t>
    </r>
  </si>
  <si>
    <t>Unaltered, fresh joint walls  // no filling</t>
  </si>
  <si>
    <t>Coating of cohesive materials (clay, chlorite, etc.)</t>
  </si>
  <si>
    <t>Friction materials (disintegrated rock, sandy materials, etc.)</t>
  </si>
  <si>
    <t>Soft, cohesive materials (disintegrated rock with clay, chlorite, etc.)</t>
  </si>
  <si>
    <t>Hard, cohesive materials (disintegrated rock with clay, talc, chlorite, etc.)</t>
  </si>
  <si>
    <t>Filling of weak materials</t>
  </si>
  <si>
    <t xml:space="preserve">Filling of swelling clay materials </t>
  </si>
  <si>
    <t>p // q</t>
  </si>
  <si>
    <t>weak zone filling</t>
  </si>
  <si>
    <t>6</t>
  </si>
  <si>
    <t>Typical structures</t>
  </si>
  <si>
    <r>
      <t xml:space="preserve">   (fill in for A </t>
    </r>
    <r>
      <rPr>
        <sz val="6"/>
        <color rgb="FF0000CC"/>
        <rFont val="Calibri"/>
        <family val="2"/>
        <scheme val="minor"/>
      </rPr>
      <t>or</t>
    </r>
    <r>
      <rPr>
        <sz val="8"/>
        <color rgb="FF0000CC"/>
        <rFont val="Calibri"/>
        <family val="2"/>
        <scheme val="minor"/>
      </rPr>
      <t xml:space="preserve"> for B)</t>
    </r>
  </si>
  <si>
    <t>You may better check the rock support estimated, by using relevant  RMi  or  Q  rock support</t>
  </si>
  <si>
    <t>charts and the values for the Ground quality vs. the Size of the tunnel (span or wall height) .</t>
  </si>
  <si>
    <r>
      <rPr>
        <b/>
        <sz val="8"/>
        <color rgb="FF0000CC"/>
        <rFont val="Arial"/>
        <family val="2"/>
      </rPr>
      <t>Note 3:</t>
    </r>
    <r>
      <rPr>
        <sz val="8"/>
        <color rgb="FF0000CC"/>
        <rFont val="Arial"/>
        <family val="2"/>
      </rPr>
      <t xml:space="preserve"> The rock support spreadsheet is only a help in the rock design process. It will not give </t>
    </r>
  </si>
  <si>
    <r>
      <rPr>
        <vertAlign val="superscript"/>
        <sz val="7"/>
        <color rgb="FF000000"/>
        <rFont val="Calibri"/>
        <family val="2"/>
        <scheme val="minor"/>
      </rPr>
      <t xml:space="preserve">      *)</t>
    </r>
    <r>
      <rPr>
        <sz val="7"/>
        <color rgb="FF000000"/>
        <rFont val="Calibri"/>
        <family val="2"/>
        <scheme val="minor"/>
      </rPr>
      <t xml:space="preserve"> </t>
    </r>
    <r>
      <rPr>
        <sz val="7"/>
        <color rgb="FF000000"/>
        <rFont val="Symbol"/>
        <family val="1"/>
        <charset val="2"/>
      </rPr>
      <t>b</t>
    </r>
    <r>
      <rPr>
        <sz val="7"/>
        <color indexed="8"/>
        <rFont val="Calibri"/>
        <family val="2"/>
        <scheme val="minor"/>
      </rPr>
      <t xml:space="preserve"> </t>
    </r>
    <r>
      <rPr>
        <sz val="7"/>
        <color rgb="FF000000"/>
        <rFont val="Calibri"/>
        <family val="2"/>
        <scheme val="minor"/>
      </rPr>
      <t xml:space="preserve">is the shape factor for blocks </t>
    </r>
  </si>
  <si>
    <t>S1 =</t>
  </si>
  <si>
    <t>S3 =</t>
  </si>
  <si>
    <r>
      <rPr>
        <sz val="7"/>
        <color rgb="FF000000"/>
        <rFont val="Arial"/>
        <family val="2"/>
      </rPr>
      <t>Block shape</t>
    </r>
    <r>
      <rPr>
        <sz val="7"/>
        <color rgb="FF000000"/>
        <rFont val="Symbol"/>
        <family val="1"/>
        <charset val="2"/>
      </rPr>
      <t xml:space="preserve"> (b)</t>
    </r>
    <r>
      <rPr>
        <sz val="7"/>
        <color rgb="FF000000"/>
        <rFont val="Arial"/>
        <family val="2"/>
      </rPr>
      <t xml:space="preserve"> can be estimated from input of </t>
    </r>
  </si>
  <si>
    <t>S1 and S3 = smallest and largest joint set spacing, or smallest and largest dimension or edge side of the block</t>
  </si>
  <si>
    <r>
      <t xml:space="preserve">  </t>
    </r>
    <r>
      <rPr>
        <sz val="8"/>
        <color rgb="FF000000"/>
        <rFont val="Calibri"/>
        <family val="2"/>
        <scheme val="minor"/>
      </rPr>
      <t>For more information on</t>
    </r>
    <r>
      <rPr>
        <sz val="8"/>
        <color indexed="8"/>
        <rFont val="Arial"/>
        <family val="1"/>
        <charset val="2"/>
      </rPr>
      <t xml:space="preserve"> </t>
    </r>
    <r>
      <rPr>
        <sz val="8"/>
        <color rgb="FF000000"/>
        <rFont val="Symbol"/>
        <family val="1"/>
        <charset val="2"/>
      </rPr>
      <t>b</t>
    </r>
  </si>
  <si>
    <r>
      <rPr>
        <b/>
        <i/>
        <sz val="8"/>
        <color rgb="FF0000CC"/>
        <rFont val="Arial"/>
        <family val="2"/>
      </rPr>
      <t>NOTE 1:</t>
    </r>
    <r>
      <rPr>
        <i/>
        <sz val="8"/>
        <color rgb="FF0000CC"/>
        <rFont val="Arial"/>
        <family val="2"/>
      </rPr>
      <t xml:space="preserve"> This spreadsheet applies </t>
    </r>
    <r>
      <rPr>
        <i/>
        <u/>
        <sz val="8"/>
        <color rgb="FF0000CC"/>
        <rFont val="Arial"/>
        <family val="2"/>
      </rPr>
      <t>common</t>
    </r>
    <r>
      <rPr>
        <i/>
        <sz val="8"/>
        <color rgb="FF0000CC"/>
        <rFont val="Arial"/>
        <family val="2"/>
      </rPr>
      <t xml:space="preserve"> values for parameters where no input is given. The assumed (common) values used are shown in the column for </t>
    </r>
    <r>
      <rPr>
        <i/>
        <u/>
        <sz val="8"/>
        <color rgb="FF0000CC"/>
        <rFont val="Arial"/>
        <family val="2"/>
      </rPr>
      <t>input used</t>
    </r>
    <r>
      <rPr>
        <i/>
        <sz val="8"/>
        <color rgb="FF0000CC"/>
        <rFont val="Arial"/>
        <family val="2"/>
      </rPr>
      <t>. Common values are also shown in the sheet 'Parameter tables'.</t>
    </r>
  </si>
  <si>
    <r>
      <rPr>
        <b/>
        <i/>
        <sz val="8"/>
        <color rgb="FF0000CC"/>
        <rFont val="Arial"/>
        <family val="2"/>
      </rPr>
      <t>NOTE 2:</t>
    </r>
    <r>
      <rPr>
        <i/>
        <sz val="8"/>
        <color rgb="FF0000CC"/>
        <rFont val="Arial"/>
        <family val="2"/>
      </rPr>
      <t xml:space="preserve"> When input both of  DJ  and  SRFz  is given, arching effect from the adjacent rockmass to a fault or weakness zone is included in the ground quality estimates and in the estimated support. This is marked as weakness zone*) in the support estimate.</t>
    </r>
  </si>
  <si>
    <r>
      <t xml:space="preserve">Type of weakness zone </t>
    </r>
    <r>
      <rPr>
        <sz val="7"/>
        <rFont val="Arial"/>
        <family val="2"/>
      </rPr>
      <t>(see figure)</t>
    </r>
  </si>
  <si>
    <r>
      <t xml:space="preserve">Rock stress level </t>
    </r>
    <r>
      <rPr>
        <sz val="7"/>
        <rFont val="Arial"/>
        <family val="2"/>
      </rPr>
      <t>or</t>
    </r>
    <r>
      <rPr>
        <b/>
        <sz val="8"/>
        <rFont val="Arial"/>
        <family val="2"/>
      </rPr>
      <t xml:space="preserve"> stress type</t>
    </r>
  </si>
  <si>
    <r>
      <rPr>
        <sz val="7"/>
        <rFont val="Arial"/>
        <family val="2"/>
      </rPr>
      <t>answer:</t>
    </r>
    <r>
      <rPr>
        <b/>
        <sz val="7"/>
        <color rgb="FF0000CC"/>
        <rFont val="Arial"/>
        <family val="2"/>
      </rPr>
      <t xml:space="preserve">  </t>
    </r>
    <r>
      <rPr>
        <b/>
        <sz val="7"/>
        <color rgb="FF0000CC"/>
        <rFont val="Symbol"/>
        <family val="1"/>
        <charset val="2"/>
      </rPr>
      <t>b</t>
    </r>
    <r>
      <rPr>
        <b/>
        <sz val="7"/>
        <color rgb="FF0000CC"/>
        <rFont val="Arial"/>
        <family val="2"/>
      </rPr>
      <t xml:space="preserve"> =</t>
    </r>
  </si>
  <si>
    <t>extremely long or flat</t>
  </si>
  <si>
    <r>
      <t>Tunnel orientation N(</t>
    </r>
    <r>
      <rPr>
        <vertAlign val="superscript"/>
        <sz val="8"/>
        <rFont val="Calibri"/>
        <family val="2"/>
        <scheme val="minor"/>
      </rPr>
      <t>o</t>
    </r>
    <r>
      <rPr>
        <sz val="8"/>
        <rFont val="Calibri"/>
        <family val="2"/>
        <scheme val="minor"/>
      </rPr>
      <t>) →</t>
    </r>
  </si>
  <si>
    <t>Parameters in Hoek-Brown failure criterion for rock masses</t>
  </si>
  <si>
    <t>s =</t>
  </si>
  <si>
    <r>
      <t>c</t>
    </r>
    <r>
      <rPr>
        <i/>
        <vertAlign val="subscript"/>
        <sz val="8"/>
        <rFont val="Arial"/>
        <family val="2"/>
      </rPr>
      <t>i</t>
    </r>
    <r>
      <rPr>
        <i/>
        <sz val="8"/>
        <rFont val="Arial"/>
        <family val="2"/>
      </rPr>
      <t xml:space="preserve"> = </t>
    </r>
  </si>
  <si>
    <r>
      <t>Q</t>
    </r>
    <r>
      <rPr>
        <vertAlign val="subscript"/>
        <sz val="7"/>
        <color theme="0" tint="-0.249977111117893"/>
        <rFont val="Arial"/>
        <family val="2"/>
      </rPr>
      <t>zone*)</t>
    </r>
    <r>
      <rPr>
        <sz val="7"/>
        <color theme="0" tint="-0.249977111117893"/>
        <rFont val="Arial"/>
        <family val="2"/>
      </rPr>
      <t xml:space="preserve"> =</t>
    </r>
  </si>
  <si>
    <t>Jointing parameter in zone</t>
  </si>
  <si>
    <r>
      <t>JP</t>
    </r>
    <r>
      <rPr>
        <vertAlign val="subscript"/>
        <sz val="7"/>
        <color theme="0" tint="-0.249977111117893"/>
        <rFont val="Calibri"/>
        <family val="2"/>
        <scheme val="minor"/>
      </rPr>
      <t>z</t>
    </r>
    <r>
      <rPr>
        <sz val="7"/>
        <color theme="0" tint="-0.249977111117893"/>
        <rFont val="Calibri"/>
        <family val="2"/>
        <scheme val="minor"/>
      </rPr>
      <t xml:space="preserve"> =</t>
    </r>
  </si>
  <si>
    <t>h =</t>
  </si>
  <si>
    <t>Calculation factor</t>
  </si>
  <si>
    <t>ROCK TYPE</t>
  </si>
  <si>
    <t>Ratings of the H-B factor</t>
  </si>
  <si>
    <t>low - average - high</t>
  </si>
  <si>
    <t>(see notes)</t>
  </si>
  <si>
    <t>Coal</t>
  </si>
  <si>
    <t>16 - 21- 26</t>
  </si>
  <si>
    <t>Amphibolite</t>
  </si>
  <si>
    <t xml:space="preserve"> 75 - 125 - 250</t>
  </si>
  <si>
    <t>Claystone</t>
  </si>
  <si>
    <t xml:space="preserve"> 2 - 5 - 10</t>
  </si>
  <si>
    <t>Amphibolitic gneiss</t>
  </si>
  <si>
    <t xml:space="preserve"> 95 - 160 - 230</t>
  </si>
  <si>
    <t>(31)</t>
  </si>
  <si>
    <t>Conglomerate</t>
  </si>
  <si>
    <t>70 - 85 - 100</t>
  </si>
  <si>
    <t>(20)</t>
  </si>
  <si>
    <t>Augen gneiss</t>
  </si>
  <si>
    <t>(30)</t>
  </si>
  <si>
    <t>Coral chalk</t>
  </si>
  <si>
    <t xml:space="preserve"> 3 - 10 - 18</t>
  </si>
  <si>
    <t>7.2</t>
  </si>
  <si>
    <t>Black shale</t>
  </si>
  <si>
    <t>35 - 70 - 105</t>
  </si>
  <si>
    <t>Dolomite</t>
  </si>
  <si>
    <t xml:space="preserve"> 60 - 100 - 300</t>
  </si>
  <si>
    <t>10.1</t>
  </si>
  <si>
    <t>Garnet mica schist</t>
  </si>
  <si>
    <t xml:space="preserve"> 75 - 105 - 130</t>
  </si>
  <si>
    <t>Limestone</t>
  </si>
  <si>
    <t xml:space="preserve"> 50 - 100 - 180</t>
  </si>
  <si>
    <t>8.4</t>
  </si>
  <si>
    <t>Granite gneiss</t>
  </si>
  <si>
    <t xml:space="preserve"> 80 - 120 - 155</t>
  </si>
  <si>
    <t>Mudstone</t>
  </si>
  <si>
    <t xml:space="preserve"> 45 - 95 - 145</t>
  </si>
  <si>
    <t>Granulite</t>
  </si>
  <si>
    <t xml:space="preserve"> 80 -  150 - 280</t>
  </si>
  <si>
    <t>Shale</t>
  </si>
  <si>
    <t xml:space="preserve"> 36 - 95 - 172</t>
  </si>
  <si>
    <t>Gneiss</t>
  </si>
  <si>
    <t xml:space="preserve"> 80 - 130 - 185</t>
  </si>
  <si>
    <t>29.2</t>
  </si>
  <si>
    <t>Sandstone</t>
  </si>
  <si>
    <t xml:space="preserve"> 75 - 120 - 160</t>
  </si>
  <si>
    <t>18.8</t>
  </si>
  <si>
    <t>Gneiss granite</t>
  </si>
  <si>
    <t xml:space="preserve"> 65 - 105 - 140</t>
  </si>
  <si>
    <t>Siltstone</t>
  </si>
  <si>
    <t xml:space="preserve"> 10 - 80 - 180</t>
  </si>
  <si>
    <t>9.6</t>
  </si>
  <si>
    <t>Greenschist</t>
  </si>
  <si>
    <t>65 - 75 - 85</t>
  </si>
  <si>
    <t>Tuff</t>
  </si>
  <si>
    <t xml:space="preserve">  3 - 25 - 150</t>
  </si>
  <si>
    <t>Greenstone</t>
  </si>
  <si>
    <t>120 - 170 - 280</t>
  </si>
  <si>
    <t>Andesite</t>
  </si>
  <si>
    <t>75 - 140 - 300</t>
  </si>
  <si>
    <t>18.9</t>
  </si>
  <si>
    <t>Greywacke</t>
  </si>
  <si>
    <t>100 - 120 - 145</t>
  </si>
  <si>
    <t>Anorthosite</t>
  </si>
  <si>
    <t>40 - 125 - 210</t>
  </si>
  <si>
    <t>Marble</t>
  </si>
  <si>
    <t xml:space="preserve"> 60 - 130 - 230</t>
  </si>
  <si>
    <t>9.3</t>
  </si>
  <si>
    <t>Basalt</t>
  </si>
  <si>
    <t>100 - 165 - 355</t>
  </si>
  <si>
    <t>(17)</t>
  </si>
  <si>
    <t>Mica gneiss</t>
  </si>
  <si>
    <t>55 - 80 - 100</t>
  </si>
  <si>
    <t>Diabase (dolerite)</t>
  </si>
  <si>
    <t>227 - 280 - 319</t>
  </si>
  <si>
    <t>15.2</t>
  </si>
  <si>
    <t>Mica quartzite</t>
  </si>
  <si>
    <t>45 - 85 - 125</t>
  </si>
  <si>
    <t>(25)</t>
  </si>
  <si>
    <t>Diorite</t>
  </si>
  <si>
    <t>100 - 140 - 190</t>
  </si>
  <si>
    <t>(27)</t>
  </si>
  <si>
    <t>Mica schist</t>
  </si>
  <si>
    <t>20 - 80 - 170</t>
  </si>
  <si>
    <t>(15)</t>
  </si>
  <si>
    <t>Gabbro</t>
  </si>
  <si>
    <t>190 - 240 - 285</t>
  </si>
  <si>
    <t>25.8</t>
  </si>
  <si>
    <t>Mylonite</t>
  </si>
  <si>
    <t>65 - 90 - 120</t>
  </si>
  <si>
    <t>Granite</t>
  </si>
  <si>
    <t>32.7</t>
  </si>
  <si>
    <t>Phyllite</t>
  </si>
  <si>
    <t>21 - 50 - 80</t>
  </si>
  <si>
    <t>(13)</t>
  </si>
  <si>
    <t>Granodiorite</t>
  </si>
  <si>
    <t xml:space="preserve"> 75 - 105 - 135</t>
  </si>
  <si>
    <t>Quartz sandstone</t>
  </si>
  <si>
    <t xml:space="preserve"> 70 - 120 - 175</t>
  </si>
  <si>
    <t>Monzonite</t>
  </si>
  <si>
    <t xml:space="preserve"> 85 - 145 - 230</t>
  </si>
  <si>
    <t>Quartzite</t>
  </si>
  <si>
    <t xml:space="preserve"> 75 - 145 - 245</t>
  </si>
  <si>
    <t>23.7</t>
  </si>
  <si>
    <t>Nepheline syenite</t>
  </si>
  <si>
    <t>125 - 165 - 200</t>
  </si>
  <si>
    <t>Quartzitic phyllite</t>
  </si>
  <si>
    <t xml:space="preserve"> 45 - 100 - 155</t>
  </si>
  <si>
    <t>Norite</t>
  </si>
  <si>
    <t>290 - 298 - 326</t>
  </si>
  <si>
    <t>21.7</t>
  </si>
  <si>
    <t>Serpentinite</t>
  </si>
  <si>
    <t xml:space="preserve"> 65 - 135 - 200</t>
  </si>
  <si>
    <t>Pegmatite</t>
  </si>
  <si>
    <t>39 - 50 - 62</t>
  </si>
  <si>
    <t>Slate</t>
  </si>
  <si>
    <t>120 - 190 - 300</t>
  </si>
  <si>
    <t>11.4</t>
  </si>
  <si>
    <t>Rhyolite</t>
  </si>
  <si>
    <t xml:space="preserve"> - 85 ? -</t>
  </si>
  <si>
    <t>Talc schist</t>
  </si>
  <si>
    <t>45 - 65 - 90</t>
  </si>
  <si>
    <t>(10)</t>
  </si>
  <si>
    <t>Syenite</t>
  </si>
  <si>
    <t xml:space="preserve"> 75 - 150 - 230</t>
  </si>
  <si>
    <t>Ultrabasic rock</t>
  </si>
  <si>
    <t xml:space="preserve"> 80 - 160 - 360</t>
  </si>
  <si>
    <t>Very soft clay</t>
  </si>
  <si>
    <t>Stiff clay</t>
  </si>
  <si>
    <t>0.1 - 0.25</t>
  </si>
  <si>
    <t>Soft clay</t>
  </si>
  <si>
    <t>0.025 - 0.05</t>
  </si>
  <si>
    <t>Very stiff clay</t>
  </si>
  <si>
    <t>0.25 - 0.5</t>
  </si>
  <si>
    <t>Firm clay</t>
  </si>
  <si>
    <t>0.05 - 0.1</t>
  </si>
  <si>
    <t>Hard clay</t>
  </si>
  <si>
    <t>0.5 - 1</t>
  </si>
  <si>
    <t>Silt, sand</t>
  </si>
  <si>
    <t>(assumed)</t>
  </si>
  <si>
    <t>0.0001  - 0.001</t>
  </si>
  <si>
    <r>
      <t xml:space="preserve">Note1: </t>
    </r>
    <r>
      <rPr>
        <i/>
        <sz val="8"/>
        <rFont val="Arial"/>
        <family val="2"/>
      </rPr>
      <t>m</t>
    </r>
    <r>
      <rPr>
        <i/>
        <vertAlign val="subscript"/>
        <sz val="8"/>
        <rFont val="Arial"/>
        <family val="2"/>
      </rPr>
      <t>i</t>
    </r>
    <r>
      <rPr>
        <sz val="7"/>
        <rFont val="Arial"/>
        <family val="2"/>
      </rPr>
      <t xml:space="preserve"> is applied in the Hoek - Brown failure criterion for rock masses</t>
    </r>
  </si>
  <si>
    <t>Note 2: Values in brackets have been assumed</t>
  </si>
  <si>
    <t>SOIL</t>
  </si>
  <si>
    <t>METAMORPHIC ROCKS</t>
  </si>
  <si>
    <t>IGNEOUS ROCKS</t>
  </si>
  <si>
    <t>SEDIMENTARY ROCKS</t>
  </si>
  <si>
    <t xml:space="preserve"> s - value                                                </t>
  </si>
  <si>
    <t>3. RMi calculations of weakness zones</t>
  </si>
  <si>
    <t>Parameters in Hoek-Brown failure criterion weakness zone</t>
  </si>
  <si>
    <t>undisturbed</t>
  </si>
  <si>
    <t>disturbed</t>
  </si>
  <si>
    <t>is used</t>
  </si>
  <si>
    <t>SHEAR STRENGTH PARAMETERS</t>
  </si>
  <si>
    <t>for information, click</t>
  </si>
  <si>
    <r>
      <t xml:space="preserve">for information of </t>
    </r>
    <r>
      <rPr>
        <sz val="8"/>
        <rFont val="Symbol"/>
        <family val="1"/>
        <charset val="2"/>
      </rPr>
      <t>b</t>
    </r>
    <r>
      <rPr>
        <sz val="8"/>
        <rFont val="Calibri"/>
        <family val="2"/>
        <scheme val="minor"/>
      </rPr>
      <t>, click</t>
    </r>
  </si>
  <si>
    <r>
      <t xml:space="preserve">Joint roughness                                       </t>
    </r>
    <r>
      <rPr>
        <sz val="7"/>
        <rFont val="Arial"/>
        <family val="2"/>
      </rPr>
      <t xml:space="preserve"> </t>
    </r>
    <r>
      <rPr>
        <sz val="7"/>
        <color rgb="FF0000CC"/>
        <rFont val="Arial"/>
        <family val="2"/>
      </rPr>
      <t xml:space="preserve">(Jr </t>
    </r>
    <r>
      <rPr>
        <sz val="6"/>
        <color rgb="FF0000CC"/>
        <rFont val="Arial"/>
        <family val="2"/>
      </rPr>
      <t>or</t>
    </r>
    <r>
      <rPr>
        <sz val="7"/>
        <color rgb="FF0000CC"/>
        <rFont val="Arial"/>
        <family val="2"/>
      </rPr>
      <t xml:space="preserve"> jR = js </t>
    </r>
    <r>
      <rPr>
        <sz val="6"/>
        <color rgb="FF0000CC"/>
        <rFont val="Arial"/>
        <family val="2"/>
      </rPr>
      <t xml:space="preserve">× </t>
    </r>
    <r>
      <rPr>
        <sz val="7"/>
        <color rgb="FF0000CC"/>
        <rFont val="Arial"/>
        <family val="2"/>
      </rPr>
      <t>jw)</t>
    </r>
  </si>
  <si>
    <r>
      <rPr>
        <b/>
        <sz val="8"/>
        <rFont val="Arial"/>
        <family val="2"/>
      </rPr>
      <t>Instantaneous friction angle</t>
    </r>
    <r>
      <rPr>
        <sz val="8"/>
        <rFont val="Arial"/>
        <family val="2"/>
      </rPr>
      <t xml:space="preserve"> </t>
    </r>
    <r>
      <rPr>
        <sz val="7"/>
        <rFont val="Arial"/>
        <family val="2"/>
      </rPr>
      <t xml:space="preserve"> (degree)</t>
    </r>
  </si>
  <si>
    <r>
      <rPr>
        <b/>
        <sz val="8"/>
        <rFont val="Arial"/>
        <family val="2"/>
      </rPr>
      <t xml:space="preserve">Shear stress </t>
    </r>
    <r>
      <rPr>
        <sz val="8"/>
        <rFont val="Arial"/>
        <family val="2"/>
      </rPr>
      <t xml:space="preserve"> </t>
    </r>
    <r>
      <rPr>
        <sz val="7"/>
        <rFont val="Arial"/>
        <family val="2"/>
      </rPr>
      <t>(MPa)</t>
    </r>
  </si>
  <si>
    <r>
      <rPr>
        <b/>
        <sz val="8"/>
        <rFont val="Arial"/>
        <family val="2"/>
      </rPr>
      <t>Instantaneous cohesion</t>
    </r>
    <r>
      <rPr>
        <sz val="7"/>
        <rFont val="Arial"/>
        <family val="2"/>
      </rPr>
      <t xml:space="preserve"> (MPa)</t>
    </r>
  </si>
  <si>
    <r>
      <t xml:space="preserve"> ( s = JP</t>
    </r>
    <r>
      <rPr>
        <vertAlign val="superscript"/>
        <sz val="7"/>
        <color theme="0" tint="-0.14999847407452621"/>
        <rFont val="Arial"/>
        <family val="2"/>
      </rPr>
      <t>2</t>
    </r>
    <r>
      <rPr>
        <sz val="7"/>
        <color theme="0" tint="-0.14999847407452621"/>
        <rFont val="Arial"/>
        <family val="2"/>
      </rPr>
      <t xml:space="preserve"> )       </t>
    </r>
  </si>
  <si>
    <r>
      <t xml:space="preserve"> m</t>
    </r>
    <r>
      <rPr>
        <vertAlign val="subscript"/>
        <sz val="8"/>
        <color theme="0" tint="-0.14999847407452621"/>
        <rFont val="Arial"/>
        <family val="2"/>
      </rPr>
      <t>b</t>
    </r>
    <r>
      <rPr>
        <vertAlign val="subscript"/>
        <sz val="7"/>
        <color theme="0" tint="-0.14999847407452621"/>
        <rFont val="Arial"/>
        <family val="2"/>
      </rPr>
      <t xml:space="preserve"> </t>
    </r>
    <r>
      <rPr>
        <sz val="7"/>
        <color theme="0" tint="-0.14999847407452621"/>
        <rFont val="Arial"/>
        <family val="2"/>
      </rPr>
      <t xml:space="preserve">   undisturbed</t>
    </r>
  </si>
  <si>
    <r>
      <t>m</t>
    </r>
    <r>
      <rPr>
        <i/>
        <vertAlign val="subscript"/>
        <sz val="7"/>
        <color theme="0" tint="-0.14999847407452621"/>
        <rFont val="Arial"/>
        <family val="2"/>
      </rPr>
      <t>b</t>
    </r>
    <r>
      <rPr>
        <i/>
        <sz val="7"/>
        <color theme="0" tint="-0.14999847407452621"/>
        <rFont val="Arial"/>
        <family val="2"/>
      </rPr>
      <t xml:space="preserve"> = </t>
    </r>
  </si>
  <si>
    <r>
      <t xml:space="preserve"> m</t>
    </r>
    <r>
      <rPr>
        <vertAlign val="subscript"/>
        <sz val="8"/>
        <color theme="0" tint="-0.14999847407452621"/>
        <rFont val="Arial"/>
        <family val="2"/>
      </rPr>
      <t xml:space="preserve">b </t>
    </r>
    <r>
      <rPr>
        <sz val="8"/>
        <color theme="0" tint="-0.14999847407452621"/>
        <rFont val="Arial"/>
        <family val="2"/>
      </rPr>
      <t xml:space="preserve">   disturbed                   </t>
    </r>
  </si>
  <si>
    <r>
      <t xml:space="preserve"> ( s = JP</t>
    </r>
    <r>
      <rPr>
        <vertAlign val="superscript"/>
        <sz val="8"/>
        <color theme="0" tint="-0.14999847407452621"/>
        <rFont val="Calibri"/>
        <family val="2"/>
        <scheme val="minor"/>
      </rPr>
      <t>2</t>
    </r>
    <r>
      <rPr>
        <sz val="8"/>
        <color theme="0" tint="-0.14999847407452621"/>
        <rFont val="Calibri"/>
        <family val="2"/>
        <scheme val="minor"/>
      </rPr>
      <t xml:space="preserve"> )       </t>
    </r>
  </si>
  <si>
    <r>
      <t xml:space="preserve"> m</t>
    </r>
    <r>
      <rPr>
        <vertAlign val="subscript"/>
        <sz val="8"/>
        <color theme="0" tint="-0.14999847407452621"/>
        <rFont val="Arial"/>
        <family val="2"/>
      </rPr>
      <t>b</t>
    </r>
    <r>
      <rPr>
        <vertAlign val="subscript"/>
        <sz val="7"/>
        <color theme="0" tint="-0.14999847407452621"/>
        <rFont val="Arial"/>
        <family val="2"/>
      </rPr>
      <t xml:space="preserve"> </t>
    </r>
    <r>
      <rPr>
        <sz val="7"/>
        <color theme="0" tint="-0.14999847407452621"/>
        <rFont val="Arial"/>
        <family val="2"/>
      </rPr>
      <t xml:space="preserve">   </t>
    </r>
    <r>
      <rPr>
        <sz val="6"/>
        <color theme="0" tint="-0.14999847407452621"/>
        <rFont val="Arial"/>
        <family val="2"/>
      </rPr>
      <t>undisturbed</t>
    </r>
  </si>
  <si>
    <r>
      <t>m</t>
    </r>
    <r>
      <rPr>
        <i/>
        <vertAlign val="subscript"/>
        <sz val="8"/>
        <color theme="0" tint="-0.14999847407452621"/>
        <rFont val="Arial"/>
        <family val="2"/>
      </rPr>
      <t>b</t>
    </r>
    <r>
      <rPr>
        <i/>
        <sz val="8"/>
        <color theme="0" tint="-0.14999847407452621"/>
        <rFont val="Arial"/>
        <family val="2"/>
      </rPr>
      <t xml:space="preserve"> = </t>
    </r>
  </si>
  <si>
    <r>
      <t xml:space="preserve"> m</t>
    </r>
    <r>
      <rPr>
        <vertAlign val="subscript"/>
        <sz val="8"/>
        <color theme="0" tint="-0.14999847407452621"/>
        <rFont val="Arial"/>
        <family val="2"/>
      </rPr>
      <t xml:space="preserve">b </t>
    </r>
    <r>
      <rPr>
        <sz val="8"/>
        <color theme="0" tint="-0.14999847407452621"/>
        <rFont val="Arial"/>
        <family val="2"/>
      </rPr>
      <t xml:space="preserve">   </t>
    </r>
    <r>
      <rPr>
        <sz val="6"/>
        <color theme="0" tint="-0.14999847407452621"/>
        <rFont val="Arial"/>
        <family val="2"/>
      </rPr>
      <t xml:space="preserve">disturbed                   </t>
    </r>
  </si>
  <si>
    <r>
      <t>f</t>
    </r>
    <r>
      <rPr>
        <i/>
        <vertAlign val="subscript"/>
        <sz val="9"/>
        <rFont val="Arial"/>
        <family val="2"/>
      </rPr>
      <t>i</t>
    </r>
    <r>
      <rPr>
        <i/>
        <sz val="9"/>
        <rFont val="Symbol"/>
        <family val="1"/>
        <charset val="2"/>
      </rPr>
      <t xml:space="preserve"> </t>
    </r>
    <r>
      <rPr>
        <sz val="9"/>
        <rFont val="Calibri"/>
        <family val="2"/>
        <scheme val="minor"/>
      </rPr>
      <t xml:space="preserve">= </t>
    </r>
  </si>
  <si>
    <r>
      <t>t</t>
    </r>
    <r>
      <rPr>
        <i/>
        <vertAlign val="subscript"/>
        <sz val="9"/>
        <rFont val="Arial"/>
        <family val="2"/>
      </rPr>
      <t>i</t>
    </r>
    <r>
      <rPr>
        <i/>
        <sz val="9"/>
        <rFont val="Symbol"/>
        <family val="1"/>
        <charset val="2"/>
      </rPr>
      <t xml:space="preserve"> </t>
    </r>
    <r>
      <rPr>
        <sz val="9"/>
        <rFont val="Calibri"/>
        <family val="2"/>
        <scheme val="minor"/>
      </rPr>
      <t>=</t>
    </r>
    <r>
      <rPr>
        <i/>
        <sz val="9"/>
        <rFont val="Calibri"/>
        <family val="2"/>
        <scheme val="minor"/>
      </rPr>
      <t xml:space="preserve"> </t>
    </r>
  </si>
  <si>
    <r>
      <t xml:space="preserve">RQD </t>
    </r>
    <r>
      <rPr>
        <sz val="5"/>
        <color theme="0" tint="-0.249977111117893"/>
        <rFont val="Arial"/>
        <family val="2"/>
      </rPr>
      <t>from</t>
    </r>
    <r>
      <rPr>
        <sz val="6"/>
        <color theme="0" tint="-0.249977111117893"/>
        <rFont val="Arial"/>
        <family val="2"/>
      </rPr>
      <t xml:space="preserve"> Jv</t>
    </r>
  </si>
  <si>
    <r>
      <t>from Vb</t>
    </r>
    <r>
      <rPr>
        <vertAlign val="subscript"/>
        <sz val="6"/>
        <color theme="0" tint="-0.249977111117893"/>
        <rFont val="Arial"/>
        <family val="2"/>
      </rPr>
      <t>zone</t>
    </r>
  </si>
  <si>
    <r>
      <t>f</t>
    </r>
    <r>
      <rPr>
        <vertAlign val="subscript"/>
        <sz val="9"/>
        <color theme="0" tint="-0.249977111117893"/>
        <rFont val="Symbol"/>
        <family val="1"/>
        <charset val="2"/>
      </rPr>
      <t>s</t>
    </r>
    <r>
      <rPr>
        <sz val="9"/>
        <color theme="0" tint="-0.249977111117893"/>
        <rFont val="Calibri"/>
        <family val="2"/>
        <scheme val="minor"/>
      </rPr>
      <t xml:space="preserve"> =</t>
    </r>
  </si>
  <si>
    <t>For jointed rockmasses</t>
  </si>
  <si>
    <t xml:space="preserve">← The RMi value indicates the compressive </t>
  </si>
  <si>
    <t>Parameters in RMi support system:</t>
  </si>
  <si>
    <r>
      <t>m</t>
    </r>
    <r>
      <rPr>
        <i/>
        <vertAlign val="subscript"/>
        <sz val="7"/>
        <color rgb="FF9900FF"/>
        <rFont val="Arial"/>
        <family val="2"/>
      </rPr>
      <t>i</t>
    </r>
    <r>
      <rPr>
        <i/>
        <sz val="7"/>
        <color rgb="FF9900FF"/>
        <rFont val="Arial"/>
        <family val="2"/>
      </rPr>
      <t xml:space="preserve"> =</t>
    </r>
  </si>
  <si>
    <r>
      <t xml:space="preserve">Effective stress </t>
    </r>
    <r>
      <rPr>
        <sz val="7"/>
        <color rgb="FF9900FF"/>
        <rFont val="Arial"/>
        <family val="2"/>
      </rPr>
      <t>(MPa)</t>
    </r>
  </si>
  <si>
    <r>
      <rPr>
        <i/>
        <sz val="8"/>
        <color rgb="FF9900FF"/>
        <rFont val="Symbol"/>
        <family val="1"/>
        <charset val="2"/>
      </rPr>
      <t>s</t>
    </r>
    <r>
      <rPr>
        <i/>
        <sz val="8"/>
        <color rgb="FF9900FF"/>
        <rFont val="Calibri"/>
        <family val="2"/>
        <scheme val="minor"/>
      </rPr>
      <t xml:space="preserve">' </t>
    </r>
    <r>
      <rPr>
        <sz val="6"/>
        <color rgb="FF9900FF"/>
        <rFont val="Calibri"/>
        <family val="2"/>
        <scheme val="minor"/>
      </rPr>
      <t xml:space="preserve">(value) </t>
    </r>
    <r>
      <rPr>
        <sz val="7"/>
        <color rgb="FF9900FF"/>
        <rFont val="Calibri"/>
        <family val="2"/>
        <scheme val="minor"/>
      </rPr>
      <t>=</t>
    </r>
  </si>
  <si>
    <t>version_2</t>
  </si>
  <si>
    <r>
      <rPr>
        <b/>
        <sz val="8"/>
        <color theme="0" tint="-0.34998626667073579"/>
        <rFont val="Arial"/>
        <family val="2"/>
      </rPr>
      <t>Instantaneous friction angle</t>
    </r>
    <r>
      <rPr>
        <sz val="8"/>
        <color theme="0" tint="-0.34998626667073579"/>
        <rFont val="Arial"/>
        <family val="2"/>
      </rPr>
      <t xml:space="preserve"> </t>
    </r>
    <r>
      <rPr>
        <sz val="7"/>
        <color theme="0" tint="-0.34998626667073579"/>
        <rFont val="Arial"/>
        <family val="2"/>
      </rPr>
      <t>(degree)</t>
    </r>
  </si>
  <si>
    <r>
      <t>f</t>
    </r>
    <r>
      <rPr>
        <i/>
        <vertAlign val="subscript"/>
        <sz val="9"/>
        <color theme="0" tint="-0.34998626667073579"/>
        <rFont val="Arial"/>
        <family val="2"/>
      </rPr>
      <t>i</t>
    </r>
    <r>
      <rPr>
        <i/>
        <sz val="9"/>
        <color theme="0" tint="-0.34998626667073579"/>
        <rFont val="Symbol"/>
        <family val="1"/>
        <charset val="2"/>
      </rPr>
      <t xml:space="preserve"> </t>
    </r>
    <r>
      <rPr>
        <sz val="9"/>
        <color theme="0" tint="-0.34998626667073579"/>
        <rFont val="Calibri"/>
        <family val="2"/>
        <scheme val="minor"/>
      </rPr>
      <t xml:space="preserve">= </t>
    </r>
  </si>
  <si>
    <r>
      <rPr>
        <b/>
        <sz val="8"/>
        <color theme="0" tint="-0.34998626667073579"/>
        <rFont val="Arial"/>
        <family val="2"/>
      </rPr>
      <t xml:space="preserve">Shear stress </t>
    </r>
    <r>
      <rPr>
        <sz val="7"/>
        <color theme="0" tint="-0.34998626667073579"/>
        <rFont val="Arial"/>
        <family val="2"/>
      </rPr>
      <t xml:space="preserve"> (MPa)</t>
    </r>
  </si>
  <si>
    <r>
      <t>t</t>
    </r>
    <r>
      <rPr>
        <i/>
        <vertAlign val="subscript"/>
        <sz val="9"/>
        <color theme="0" tint="-0.34998626667073579"/>
        <rFont val="Arial"/>
        <family val="2"/>
      </rPr>
      <t>i</t>
    </r>
    <r>
      <rPr>
        <i/>
        <sz val="9"/>
        <color theme="0" tint="-0.34998626667073579"/>
        <rFont val="Symbol"/>
        <family val="1"/>
        <charset val="2"/>
      </rPr>
      <t xml:space="preserve"> </t>
    </r>
    <r>
      <rPr>
        <sz val="9"/>
        <color theme="0" tint="-0.34998626667073579"/>
        <rFont val="Calibri"/>
        <family val="2"/>
        <scheme val="minor"/>
      </rPr>
      <t>=</t>
    </r>
    <r>
      <rPr>
        <i/>
        <sz val="9"/>
        <color theme="0" tint="-0.34998626667073579"/>
        <rFont val="Calibri"/>
        <family val="2"/>
        <scheme val="minor"/>
      </rPr>
      <t xml:space="preserve"> </t>
    </r>
  </si>
  <si>
    <r>
      <rPr>
        <b/>
        <sz val="8"/>
        <color theme="0" tint="-0.34998626667073579"/>
        <rFont val="Arial"/>
        <family val="2"/>
      </rPr>
      <t>Instantaneous cohesion</t>
    </r>
    <r>
      <rPr>
        <sz val="8"/>
        <color theme="0" tint="-0.34998626667073579"/>
        <rFont val="Arial"/>
        <family val="2"/>
      </rPr>
      <t xml:space="preserve">  </t>
    </r>
    <r>
      <rPr>
        <sz val="7"/>
        <color theme="0" tint="-0.34998626667073579"/>
        <rFont val="Arial"/>
        <family val="2"/>
      </rPr>
      <t>(MPa)</t>
    </r>
  </si>
  <si>
    <r>
      <t>c</t>
    </r>
    <r>
      <rPr>
        <i/>
        <vertAlign val="subscript"/>
        <sz val="8"/>
        <color theme="0" tint="-0.34998626667073579"/>
        <rFont val="Arial"/>
        <family val="2"/>
      </rPr>
      <t>i</t>
    </r>
    <r>
      <rPr>
        <i/>
        <sz val="8"/>
        <color theme="0" tint="-0.34998626667073579"/>
        <rFont val="Arial"/>
        <family val="2"/>
      </rPr>
      <t xml:space="preserve"> = </t>
    </r>
  </si>
  <si>
    <t>Do not forget to apply engineering and geological judgement to evaluate the site conditions and the  values of the input parameters, as well as the behaviour of the ground in the underground opening</t>
  </si>
  <si>
    <t xml:space="preserve"> NOTE: </t>
  </si>
  <si>
    <r>
      <rPr>
        <b/>
        <sz val="9"/>
        <color rgb="FF000000"/>
        <rFont val="Arial Narrow"/>
        <family val="2"/>
      </rPr>
      <t>INPUT CHECK</t>
    </r>
    <r>
      <rPr>
        <b/>
        <sz val="9"/>
        <color rgb="FF000000"/>
        <rFont val="Calibri"/>
        <family val="2"/>
        <scheme val="minor"/>
      </rPr>
      <t xml:space="preserve">           ↓</t>
    </r>
  </si>
  <si>
    <r>
      <rPr>
        <b/>
        <sz val="11"/>
        <rFont val="Arial Black"/>
        <family val="2"/>
      </rPr>
      <t xml:space="preserve">RMi </t>
    </r>
    <r>
      <rPr>
        <b/>
        <sz val="9"/>
        <rFont val="Arial Black"/>
        <family val="2"/>
      </rPr>
      <t xml:space="preserve"> ROCKMASS OBSERVATIONS, GROUND QUALITY and SHEAR STRENGTH estimate     </t>
    </r>
    <r>
      <rPr>
        <b/>
        <sz val="7"/>
        <rFont val="Arial"/>
        <family val="2"/>
      </rPr>
      <t xml:space="preserve"> </t>
    </r>
    <r>
      <rPr>
        <b/>
        <sz val="6"/>
        <rFont val="Arial"/>
        <family val="2"/>
      </rPr>
      <t>(</t>
    </r>
    <r>
      <rPr>
        <sz val="6"/>
        <rFont val="Arial"/>
        <family val="2"/>
      </rPr>
      <t>RMi version 2)</t>
    </r>
  </si>
  <si>
    <r>
      <rPr>
        <b/>
        <i/>
        <sz val="10"/>
        <color theme="3" tint="0.39997558519241921"/>
        <rFont val="Arial"/>
        <family val="2"/>
      </rPr>
      <t>blue values and blue text</t>
    </r>
    <r>
      <rPr>
        <b/>
        <i/>
        <sz val="10"/>
        <color rgb="FF0000CC"/>
        <rFont val="Arial"/>
        <family val="2"/>
      </rPr>
      <t xml:space="preserve"> </t>
    </r>
    <r>
      <rPr>
        <b/>
        <i/>
        <sz val="10"/>
        <color theme="0" tint="-0.249977111117893"/>
        <rFont val="Arial"/>
        <family val="2"/>
      </rPr>
      <t>can be adjusted</t>
    </r>
  </si>
  <si>
    <r>
      <rPr>
        <b/>
        <i/>
        <sz val="9"/>
        <color theme="3" tint="0.39997558519241921"/>
        <rFont val="Arial"/>
        <family val="2"/>
      </rPr>
      <t>blue values and blue text</t>
    </r>
    <r>
      <rPr>
        <b/>
        <i/>
        <sz val="9"/>
        <color rgb="FF0000CC"/>
        <rFont val="Arial"/>
        <family val="2"/>
      </rPr>
      <t xml:space="preserve"> </t>
    </r>
    <r>
      <rPr>
        <b/>
        <i/>
        <sz val="9"/>
        <color theme="0" tint="-0.249977111117893"/>
        <rFont val="Arial"/>
        <family val="2"/>
      </rPr>
      <t>can be adjusted</t>
    </r>
  </si>
  <si>
    <r>
      <t xml:space="preserve">  Input of the </t>
    </r>
    <r>
      <rPr>
        <i/>
        <sz val="10"/>
        <rFont val="Arial"/>
        <family val="2"/>
      </rPr>
      <t>m</t>
    </r>
    <r>
      <rPr>
        <i/>
        <vertAlign val="subscript"/>
        <sz val="10"/>
        <rFont val="Arial"/>
        <family val="2"/>
      </rPr>
      <t>i</t>
    </r>
    <r>
      <rPr>
        <i/>
        <sz val="10"/>
        <rFont val="Arial"/>
        <family val="2"/>
      </rPr>
      <t xml:space="preserve"> </t>
    </r>
    <r>
      <rPr>
        <sz val="10"/>
        <rFont val="Arial"/>
        <family val="2"/>
      </rPr>
      <t>factor of the Hoek-Brown failure criterion for</t>
    </r>
    <r>
      <rPr>
        <u/>
        <sz val="10"/>
        <rFont val="Arial"/>
        <family val="2"/>
      </rPr>
      <t xml:space="preserve"> jointed rockmasses</t>
    </r>
  </si>
  <si>
    <r>
      <t xml:space="preserve"> Input for </t>
    </r>
    <r>
      <rPr>
        <u/>
        <sz val="10"/>
        <rFont val="Arial"/>
        <family val="2"/>
      </rPr>
      <t>jointed rockmasses</t>
    </r>
  </si>
  <si>
    <r>
      <t xml:space="preserve">Input for </t>
    </r>
    <r>
      <rPr>
        <u/>
        <sz val="10"/>
        <rFont val="Arial"/>
        <family val="2"/>
      </rPr>
      <t>weakness zones</t>
    </r>
    <r>
      <rPr>
        <sz val="10"/>
        <rFont val="Arial"/>
        <family val="2"/>
      </rPr>
      <t xml:space="preserve"> can be made separately or together with the input for jointed rockmasses</t>
    </r>
  </si>
  <si>
    <r>
      <t xml:space="preserve">  Input of the mi factor of the Hoek-Brown failure criterion for </t>
    </r>
    <r>
      <rPr>
        <u/>
        <sz val="10"/>
        <rFont val="Arial"/>
        <family val="2"/>
      </rPr>
      <t>weakness zone</t>
    </r>
  </si>
  <si>
    <r>
      <t>SOME UNIAXIAL COMPRESSIVE STRENGTHS AND RATINGS OF THE  m</t>
    </r>
    <r>
      <rPr>
        <b/>
        <i/>
        <vertAlign val="subscript"/>
        <sz val="9"/>
        <rFont val="Arial"/>
        <family val="2"/>
      </rPr>
      <t>i</t>
    </r>
    <r>
      <rPr>
        <b/>
        <i/>
        <sz val="9"/>
        <rFont val="Arial"/>
        <family val="2"/>
      </rPr>
      <t xml:space="preserve">  FACTOR IN HOEK-BROWN FAILURE CRITERION FOR ROCK MASSES</t>
    </r>
  </si>
  <si>
    <r>
      <t>&lt; 0.3 dm</t>
    </r>
    <r>
      <rPr>
        <vertAlign val="superscript"/>
        <sz val="6"/>
        <rFont val="Calibri"/>
        <family val="2"/>
        <scheme val="minor"/>
      </rPr>
      <t>3</t>
    </r>
  </si>
  <si>
    <r>
      <t>0.3 - 1 dm</t>
    </r>
    <r>
      <rPr>
        <vertAlign val="superscript"/>
        <sz val="6"/>
        <rFont val="Calibri"/>
        <family val="2"/>
        <scheme val="minor"/>
      </rPr>
      <t>3</t>
    </r>
  </si>
  <si>
    <r>
      <t>1 - 3 dm</t>
    </r>
    <r>
      <rPr>
        <vertAlign val="superscript"/>
        <sz val="6"/>
        <rFont val="Calibri"/>
        <family val="2"/>
        <scheme val="minor"/>
      </rPr>
      <t>3</t>
    </r>
  </si>
  <si>
    <r>
      <t>3 - 15 dm</t>
    </r>
    <r>
      <rPr>
        <vertAlign val="superscript"/>
        <sz val="6"/>
        <rFont val="Calibri"/>
        <family val="2"/>
        <scheme val="minor"/>
      </rPr>
      <t>3</t>
    </r>
  </si>
  <si>
    <r>
      <t>15 - 70 dm</t>
    </r>
    <r>
      <rPr>
        <vertAlign val="superscript"/>
        <sz val="6"/>
        <rFont val="Calibri"/>
        <family val="2"/>
        <scheme val="minor"/>
      </rPr>
      <t>3</t>
    </r>
  </si>
  <si>
    <r>
      <t>70 - 500 dm</t>
    </r>
    <r>
      <rPr>
        <vertAlign val="superscript"/>
        <sz val="6"/>
        <rFont val="Calibri"/>
        <family val="2"/>
        <scheme val="minor"/>
      </rPr>
      <t>3</t>
    </r>
  </si>
  <si>
    <t>&gt; 40</t>
  </si>
  <si>
    <t>40 - 34</t>
  </si>
  <si>
    <t>34 - 24</t>
  </si>
  <si>
    <t>24 - 14</t>
  </si>
  <si>
    <t>14 - 8</t>
  </si>
  <si>
    <t>8 - 4</t>
  </si>
  <si>
    <r>
      <t>m</t>
    </r>
    <r>
      <rPr>
        <i/>
        <vertAlign val="subscript"/>
        <sz val="7"/>
        <rFont val="Arial"/>
        <family val="2"/>
      </rPr>
      <t>i</t>
    </r>
    <r>
      <rPr>
        <i/>
        <sz val="7"/>
        <rFont val="Arial"/>
        <family val="2"/>
      </rPr>
      <t xml:space="preserve"> =</t>
    </r>
  </si>
  <si>
    <r>
      <rPr>
        <i/>
        <sz val="8"/>
        <rFont val="Symbol"/>
        <family val="1"/>
        <charset val="2"/>
      </rPr>
      <t>s</t>
    </r>
    <r>
      <rPr>
        <i/>
        <sz val="8"/>
        <rFont val="Calibri"/>
        <family val="2"/>
        <scheme val="minor"/>
      </rPr>
      <t>'</t>
    </r>
    <r>
      <rPr>
        <sz val="8"/>
        <rFont val="Calibri"/>
        <family val="2"/>
        <scheme val="minor"/>
      </rPr>
      <t xml:space="preserve"> </t>
    </r>
    <r>
      <rPr>
        <sz val="6"/>
        <rFont val="Calibri"/>
        <family val="2"/>
        <scheme val="minor"/>
      </rPr>
      <t>(value)</t>
    </r>
    <r>
      <rPr>
        <sz val="8"/>
        <rFont val="Calibri"/>
        <family val="2"/>
        <scheme val="minor"/>
      </rPr>
      <t xml:space="preserve"> </t>
    </r>
    <r>
      <rPr>
        <sz val="7"/>
        <rFont val="Calibri"/>
        <family val="2"/>
        <scheme val="minor"/>
      </rPr>
      <t>=</t>
    </r>
  </si>
  <si>
    <r>
      <t xml:space="preserve">Effective normal stress </t>
    </r>
    <r>
      <rPr>
        <sz val="7"/>
        <color rgb="FFCC00FF"/>
        <rFont val="Arial"/>
        <family val="2"/>
      </rPr>
      <t>(MPa)</t>
    </r>
  </si>
  <si>
    <r>
      <t xml:space="preserve">Uniaxial compr. strength (MPa)         </t>
    </r>
    <r>
      <rPr>
        <b/>
        <sz val="8"/>
        <rFont val="Symbol"/>
        <family val="1"/>
        <charset val="2"/>
      </rPr>
      <t>s</t>
    </r>
    <r>
      <rPr>
        <b/>
        <vertAlign val="subscript"/>
        <sz val="8"/>
        <rFont val="Arial"/>
        <family val="2"/>
      </rPr>
      <t>c</t>
    </r>
    <r>
      <rPr>
        <b/>
        <sz val="8"/>
        <rFont val="Arial"/>
        <family val="2"/>
      </rPr>
      <t xml:space="preserve"> </t>
    </r>
    <r>
      <rPr>
        <vertAlign val="superscript"/>
        <sz val="8"/>
        <rFont val="Arial"/>
        <family val="2"/>
      </rPr>
      <t>a)</t>
    </r>
  </si>
  <si>
    <r>
      <t>m</t>
    </r>
    <r>
      <rPr>
        <b/>
        <i/>
        <vertAlign val="subscript"/>
        <sz val="9"/>
        <rFont val="Arial"/>
        <family val="2"/>
      </rPr>
      <t>i</t>
    </r>
    <r>
      <rPr>
        <b/>
        <i/>
        <vertAlign val="superscript"/>
        <sz val="9"/>
        <rFont val="Arial"/>
        <family val="2"/>
      </rPr>
      <t xml:space="preserve"> </t>
    </r>
    <r>
      <rPr>
        <vertAlign val="superscript"/>
        <sz val="9"/>
        <rFont val="Arial"/>
        <family val="2"/>
      </rPr>
      <t>b)</t>
    </r>
  </si>
  <si>
    <r>
      <t xml:space="preserve">a) </t>
    </r>
    <r>
      <rPr>
        <sz val="11"/>
        <rFont val="Symbol"/>
        <family val="1"/>
        <charset val="2"/>
      </rPr>
      <t>s</t>
    </r>
    <r>
      <rPr>
        <vertAlign val="subscript"/>
        <sz val="10"/>
        <rFont val="Arial"/>
        <family val="2"/>
      </rPr>
      <t>c</t>
    </r>
    <r>
      <rPr>
        <sz val="10"/>
        <rFont val="Arial"/>
        <family val="2"/>
      </rPr>
      <t xml:space="preserve"> values from Hanssen T.H. (1988): Rock Stresses. Norwegian Rock and Soil Assoc., Publ. no. 5, pp. 45-46.</t>
    </r>
  </si>
  <si>
    <r>
      <t>Uniaxial compr. strength</t>
    </r>
    <r>
      <rPr>
        <sz val="8"/>
        <rFont val="Arial"/>
        <family val="2"/>
      </rPr>
      <t xml:space="preserve"> (MPa)               </t>
    </r>
    <r>
      <rPr>
        <b/>
        <sz val="8"/>
        <rFont val="Arial"/>
        <family val="2"/>
      </rPr>
      <t xml:space="preserve"> </t>
    </r>
    <r>
      <rPr>
        <b/>
        <sz val="8"/>
        <rFont val="Symbol"/>
        <family val="1"/>
        <charset val="2"/>
      </rPr>
      <t>s</t>
    </r>
    <r>
      <rPr>
        <b/>
        <vertAlign val="subscript"/>
        <sz val="8"/>
        <rFont val="Arial"/>
        <family val="2"/>
      </rPr>
      <t>c</t>
    </r>
    <r>
      <rPr>
        <b/>
        <sz val="8"/>
        <rFont val="Arial"/>
        <family val="2"/>
      </rPr>
      <t xml:space="preserve"> </t>
    </r>
    <r>
      <rPr>
        <vertAlign val="superscript"/>
        <sz val="8"/>
        <rFont val="Arial"/>
        <family val="2"/>
      </rPr>
      <t>a)</t>
    </r>
  </si>
  <si>
    <r>
      <t>m</t>
    </r>
    <r>
      <rPr>
        <b/>
        <i/>
        <vertAlign val="subscript"/>
        <sz val="9"/>
        <rFont val="Arial"/>
        <family val="2"/>
      </rPr>
      <t>i</t>
    </r>
    <r>
      <rPr>
        <vertAlign val="superscript"/>
        <sz val="9"/>
        <rFont val="Arial"/>
        <family val="2"/>
      </rPr>
      <t xml:space="preserve"> b)</t>
    </r>
  </si>
  <si>
    <t xml:space="preserve">4. Rockmass calculations </t>
  </si>
  <si>
    <t>Low stress level / poor interlocking</t>
  </si>
  <si>
    <r>
      <t xml:space="preserve">Hoek-Brown rock constant </t>
    </r>
    <r>
      <rPr>
        <sz val="7"/>
        <color rgb="FF9900FF"/>
        <rFont val="Arial"/>
        <family val="2"/>
      </rPr>
      <t>(number)</t>
    </r>
  </si>
  <si>
    <t>Input for SHEAR STRENGTH ESTIMATE</t>
  </si>
  <si>
    <r>
      <t xml:space="preserve">Hoek-Brown rock constant </t>
    </r>
    <r>
      <rPr>
        <sz val="7"/>
        <color rgb="FFCC00FF"/>
        <rFont val="Arial"/>
        <family val="2"/>
      </rPr>
      <t>(number)</t>
    </r>
  </si>
  <si>
    <r>
      <t xml:space="preserve">strike / dip ( </t>
    </r>
    <r>
      <rPr>
        <vertAlign val="superscript"/>
        <sz val="8"/>
        <rFont val="Calibri"/>
        <family val="2"/>
        <scheme val="minor"/>
      </rPr>
      <t>o</t>
    </r>
    <r>
      <rPr>
        <sz val="8"/>
        <rFont val="Calibri"/>
        <family val="2"/>
        <scheme val="minor"/>
      </rPr>
      <t xml:space="preserve"> ) =</t>
    </r>
  </si>
  <si>
    <r>
      <t>Strike / dip (</t>
    </r>
    <r>
      <rPr>
        <vertAlign val="superscript"/>
        <sz val="6"/>
        <rFont val="Arial"/>
        <family val="2"/>
      </rPr>
      <t xml:space="preserve"> o </t>
    </r>
    <r>
      <rPr>
        <sz val="6"/>
        <rFont val="Arial"/>
        <family val="2"/>
      </rPr>
      <t xml:space="preserve">) </t>
    </r>
    <r>
      <rPr>
        <sz val="6"/>
        <rFont val="Calibri"/>
        <family val="2"/>
      </rPr>
      <t>=</t>
    </r>
  </si>
  <si>
    <t>Start to insert the ratings of the parameter you have observed.  You do not have to give input for all parameters, see</t>
  </si>
  <si>
    <t>E X A M P L E</t>
  </si>
  <si>
    <r>
      <t xml:space="preserve">b) </t>
    </r>
    <r>
      <rPr>
        <i/>
        <sz val="10"/>
        <rFont val="Arial"/>
        <family val="2"/>
      </rPr>
      <t>m</t>
    </r>
    <r>
      <rPr>
        <i/>
        <vertAlign val="subscript"/>
        <sz val="10"/>
        <rFont val="Arial"/>
        <family val="2"/>
      </rPr>
      <t>i</t>
    </r>
    <r>
      <rPr>
        <sz val="10"/>
        <rFont val="Arial"/>
        <family val="2"/>
      </rPr>
      <t xml:space="preserve"> values from Hoek E. and Brown E.T. (1997): Practical estimates of rock mass strength.  International
</t>
    </r>
  </si>
  <si>
    <t xml:space="preserve">             Journal of Rock Mechanics &amp; Mining Sciences &amp; Geomechanics Abstracts, v. 34, no. 8, pp. 1165-1186.</t>
  </si>
  <si>
    <t>How to start using the 'INPUT and CALCULATIONS' sheet</t>
  </si>
  <si>
    <t>For more information on application of the 'INPUT and CALCULATIONS' sheet see help for the RMi version-3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</si>
</sst>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0.000"/>
    <numFmt numFmtId="166" formatCode="0.00000"/>
    <numFmt numFmtId="167" formatCode="#,##0.0000000"/>
    <numFmt numFmtId="168" formatCode="0.0&quot;m&quot;"/>
    <numFmt numFmtId="169" formatCode="#,##0.00000"/>
    <numFmt numFmtId="170" formatCode="0.0&quot; m&quot;"/>
    <numFmt numFmtId="171" formatCode="0&quot; MPa&quot;"/>
    <numFmt numFmtId="172" formatCode="0.00&quot; m&quot;"/>
    <numFmt numFmtId="173" formatCode="0.00&quot; GPa&quot;"/>
    <numFmt numFmtId="174" formatCode="0.00000000000000000"/>
    <numFmt numFmtId="175" formatCode="0.0000"/>
    <numFmt numFmtId="176" formatCode="0.00&quot; dm³&quot;"/>
    <numFmt numFmtId="177" formatCode="0.000&quot; m³&quot;"/>
    <numFmt numFmtId="178" formatCode="0&quot; m³&quot;"/>
    <numFmt numFmtId="179" formatCode="0&quot; joints/m³&quot;"/>
    <numFmt numFmtId="180" formatCode="0.0000&quot; m³&quot;"/>
    <numFmt numFmtId="181" formatCode="\=\ 0.00&quot; dm³&quot;"/>
    <numFmt numFmtId="182" formatCode="0.00000&quot; m³&quot;"/>
    <numFmt numFmtId="183" formatCode="0.000&quot; dm³&quot;"/>
    <numFmt numFmtId="184" formatCode="0.000000"/>
    <numFmt numFmtId="185" formatCode="0.00&quot; MPa&quot;"/>
    <numFmt numFmtId="186" formatCode="0.0&quot; MPa&quot;"/>
    <numFmt numFmtId="187" formatCode="0.000&quot; m&quot;"/>
    <numFmt numFmtId="188" formatCode="0.000000000000000000"/>
    <numFmt numFmtId="189" formatCode="0.000&quot; MPa&quot;"/>
    <numFmt numFmtId="190" formatCode="\=\ 0.000&quot; m³&quot;"/>
    <numFmt numFmtId="191" formatCode="0.00&quot;°&quot;"/>
  </numFmts>
  <fonts count="407">
    <font>
      <sz val="10"/>
      <name val="Arial"/>
    </font>
    <font>
      <sz val="10"/>
      <name val="Arial"/>
      <family val="2"/>
    </font>
    <font>
      <b/>
      <sz val="8"/>
      <name val="Arial"/>
      <family val="2"/>
    </font>
    <font>
      <sz val="8"/>
      <name val="Arial"/>
      <family val="2"/>
    </font>
    <font>
      <sz val="9"/>
      <name val="Arial"/>
      <family val="2"/>
    </font>
    <font>
      <sz val="10"/>
      <name val="Arial"/>
      <family val="2"/>
    </font>
    <font>
      <sz val="7"/>
      <color indexed="12"/>
      <name val="Arial"/>
      <family val="2"/>
    </font>
    <font>
      <u/>
      <sz val="12.5"/>
      <color indexed="12"/>
      <name val="MS Sans Serif"/>
      <family val="2"/>
    </font>
    <font>
      <sz val="8"/>
      <color indexed="12"/>
      <name val="Arial"/>
      <family val="2"/>
    </font>
    <font>
      <sz val="7"/>
      <name val="Arial"/>
      <family val="2"/>
    </font>
    <font>
      <sz val="9"/>
      <color indexed="12"/>
      <name val="Arial"/>
      <family val="2"/>
    </font>
    <font>
      <b/>
      <sz val="10"/>
      <name val="Arial"/>
      <family val="2"/>
    </font>
    <font>
      <b/>
      <sz val="7"/>
      <name val="Arial"/>
      <family val="2"/>
    </font>
    <font>
      <b/>
      <sz val="9"/>
      <name val="Arial"/>
      <family val="2"/>
    </font>
    <font>
      <b/>
      <sz val="8"/>
      <color indexed="8"/>
      <name val="Arial"/>
      <family val="2"/>
    </font>
    <font>
      <sz val="8"/>
      <color indexed="8"/>
      <name val="Arial"/>
      <family val="2"/>
    </font>
    <font>
      <sz val="7"/>
      <color indexed="8"/>
      <name val="Arial"/>
      <family val="2"/>
    </font>
    <font>
      <sz val="7"/>
      <color indexed="8"/>
      <name val="Symbol"/>
      <family val="1"/>
      <charset val="2"/>
    </font>
    <font>
      <vertAlign val="subscript"/>
      <sz val="7"/>
      <color indexed="8"/>
      <name val="Arial"/>
      <family val="2"/>
    </font>
    <font>
      <b/>
      <sz val="7"/>
      <color indexed="8"/>
      <name val="Arial"/>
      <family val="2"/>
    </font>
    <font>
      <vertAlign val="superscript"/>
      <sz val="7"/>
      <name val="Arial"/>
      <family val="2"/>
    </font>
    <font>
      <b/>
      <i/>
      <sz val="7"/>
      <name val="Arial"/>
      <family val="2"/>
    </font>
    <font>
      <i/>
      <sz val="7"/>
      <name val="Arial"/>
      <family val="2"/>
    </font>
    <font>
      <sz val="7"/>
      <color indexed="10"/>
      <name val="Arial"/>
      <family val="2"/>
    </font>
    <font>
      <sz val="7"/>
      <name val="Symbol"/>
      <family val="1"/>
      <charset val="2"/>
    </font>
    <font>
      <vertAlign val="subscript"/>
      <sz val="7"/>
      <name val="Symbol"/>
      <family val="1"/>
      <charset val="2"/>
    </font>
    <font>
      <vertAlign val="subscript"/>
      <sz val="7"/>
      <name val="Arial"/>
      <family val="2"/>
    </font>
    <font>
      <vertAlign val="subscript"/>
      <sz val="8"/>
      <name val="Arial"/>
      <family val="2"/>
    </font>
    <font>
      <i/>
      <sz val="8"/>
      <name val="Arial"/>
      <family val="2"/>
    </font>
    <font>
      <vertAlign val="subscript"/>
      <sz val="9"/>
      <name val="Arial"/>
      <family val="2"/>
    </font>
    <font>
      <i/>
      <sz val="8"/>
      <color indexed="12"/>
      <name val="Arial"/>
      <family val="2"/>
    </font>
    <font>
      <sz val="8"/>
      <name val="Symbol"/>
      <family val="1"/>
      <charset val="2"/>
    </font>
    <font>
      <sz val="9"/>
      <color indexed="8"/>
      <name val="Arial"/>
      <family val="2"/>
    </font>
    <font>
      <sz val="8"/>
      <name val="Arial"/>
      <family val="2"/>
    </font>
    <font>
      <sz val="7"/>
      <name val="Arial"/>
      <family val="2"/>
    </font>
    <font>
      <vertAlign val="superscript"/>
      <sz val="8"/>
      <name val="Arial"/>
      <family val="2"/>
    </font>
    <font>
      <b/>
      <sz val="12"/>
      <name val="Arial"/>
      <family val="2"/>
    </font>
    <font>
      <sz val="8"/>
      <color indexed="12"/>
      <name val="Arial"/>
      <family val="2"/>
    </font>
    <font>
      <b/>
      <sz val="9"/>
      <color indexed="8"/>
      <name val="Arial"/>
      <family val="2"/>
    </font>
    <font>
      <i/>
      <sz val="7"/>
      <name val="Arial"/>
      <family val="2"/>
    </font>
    <font>
      <u/>
      <sz val="10"/>
      <name val="Arial"/>
      <family val="2"/>
    </font>
    <font>
      <b/>
      <i/>
      <sz val="9"/>
      <color indexed="12"/>
      <name val="Arial"/>
      <family val="2"/>
    </font>
    <font>
      <u/>
      <sz val="8.5"/>
      <color indexed="12"/>
      <name val="MS Sans Serif"/>
      <family val="2"/>
    </font>
    <font>
      <i/>
      <sz val="8"/>
      <name val="Arial"/>
      <family val="2"/>
    </font>
    <font>
      <b/>
      <i/>
      <sz val="8"/>
      <name val="Arial"/>
      <family val="2"/>
    </font>
    <font>
      <strike/>
      <sz val="10"/>
      <name val="Arial"/>
      <family val="2"/>
    </font>
    <font>
      <strike/>
      <sz val="10"/>
      <name val="Cambria"/>
      <family val="1"/>
    </font>
    <font>
      <sz val="6"/>
      <name val="Arial"/>
      <family val="2"/>
    </font>
    <font>
      <i/>
      <vertAlign val="superscript"/>
      <sz val="7"/>
      <name val="Arial"/>
      <family val="2"/>
    </font>
    <font>
      <i/>
      <sz val="7"/>
      <name val="Symbol"/>
      <family val="1"/>
      <charset val="2"/>
    </font>
    <font>
      <i/>
      <vertAlign val="subscript"/>
      <sz val="7"/>
      <name val="Symbol"/>
      <family val="1"/>
      <charset val="2"/>
    </font>
    <font>
      <i/>
      <vertAlign val="subscript"/>
      <sz val="7"/>
      <name val="Arial"/>
      <family val="2"/>
    </font>
    <font>
      <i/>
      <sz val="7"/>
      <color indexed="8"/>
      <name val="Arial"/>
      <family val="2"/>
    </font>
    <font>
      <i/>
      <vertAlign val="superscript"/>
      <sz val="7"/>
      <color indexed="8"/>
      <name val="Arial"/>
      <family val="2"/>
    </font>
    <font>
      <sz val="6"/>
      <color indexed="8"/>
      <name val="Arial"/>
      <family val="2"/>
    </font>
    <font>
      <i/>
      <sz val="6"/>
      <name val="Arial"/>
      <family val="2"/>
    </font>
    <font>
      <sz val="8"/>
      <color indexed="8"/>
      <name val="Symbol"/>
      <family val="1"/>
      <charset val="2"/>
    </font>
    <font>
      <vertAlign val="subscript"/>
      <sz val="8"/>
      <color indexed="8"/>
      <name val="Arial"/>
      <family val="2"/>
    </font>
    <font>
      <sz val="7"/>
      <name val="Cambria"/>
      <family val="1"/>
    </font>
    <font>
      <i/>
      <sz val="7"/>
      <color indexed="8"/>
      <name val="Symbol"/>
      <family val="1"/>
      <charset val="2"/>
    </font>
    <font>
      <vertAlign val="superscript"/>
      <sz val="9"/>
      <name val="Arial"/>
      <family val="2"/>
    </font>
    <font>
      <sz val="7"/>
      <color indexed="12"/>
      <name val="Arial"/>
      <family val="2"/>
    </font>
    <font>
      <sz val="7"/>
      <color indexed="12"/>
      <name val="Arial"/>
      <family val="2"/>
    </font>
    <font>
      <i/>
      <sz val="8"/>
      <color indexed="8"/>
      <name val="Arial"/>
      <family val="2"/>
    </font>
    <font>
      <u/>
      <sz val="8"/>
      <color indexed="12"/>
      <name val="Arial"/>
      <family val="2"/>
    </font>
    <font>
      <b/>
      <i/>
      <u/>
      <sz val="9"/>
      <color indexed="12"/>
      <name val="Arial"/>
      <family val="2"/>
    </font>
    <font>
      <vertAlign val="superscript"/>
      <sz val="7"/>
      <color indexed="8"/>
      <name val="Arial"/>
      <family val="2"/>
    </font>
    <font>
      <sz val="11"/>
      <color indexed="8"/>
      <name val="Arial"/>
      <family val="2"/>
    </font>
    <font>
      <sz val="9"/>
      <color indexed="8"/>
      <name val="Symbol"/>
      <family val="1"/>
      <charset val="2"/>
    </font>
    <font>
      <sz val="8"/>
      <color rgb="FF0000CC"/>
      <name val="Arial"/>
      <family val="2"/>
    </font>
    <font>
      <sz val="7"/>
      <color rgb="FF0000CC"/>
      <name val="Arial"/>
      <family val="2"/>
    </font>
    <font>
      <i/>
      <sz val="7"/>
      <color theme="1"/>
      <name val="Arial"/>
      <family val="2"/>
    </font>
    <font>
      <sz val="7"/>
      <color theme="1"/>
      <name val="Arial"/>
      <family val="2"/>
    </font>
    <font>
      <b/>
      <i/>
      <sz val="8"/>
      <color theme="9" tint="-0.499984740745262"/>
      <name val="Arial"/>
      <family val="2"/>
    </font>
    <font>
      <b/>
      <i/>
      <sz val="10"/>
      <color rgb="FF0000CC"/>
      <name val="Arial"/>
      <family val="2"/>
    </font>
    <font>
      <b/>
      <sz val="9"/>
      <color rgb="FF0000CC"/>
      <name val="Arial"/>
      <family val="2"/>
    </font>
    <font>
      <b/>
      <sz val="8"/>
      <color rgb="FFFF0000"/>
      <name val="Arial"/>
      <family val="2"/>
    </font>
    <font>
      <sz val="8"/>
      <color rgb="FF3333FF"/>
      <name val="Arial"/>
      <family val="2"/>
    </font>
    <font>
      <b/>
      <sz val="7"/>
      <color rgb="FF0000CC"/>
      <name val="Arial"/>
      <family val="2"/>
    </font>
    <font>
      <b/>
      <sz val="7"/>
      <color theme="1"/>
      <name val="Arial"/>
      <family val="2"/>
    </font>
    <font>
      <b/>
      <sz val="8"/>
      <color rgb="FF0000CC"/>
      <name val="Arial"/>
      <family val="2"/>
    </font>
    <font>
      <b/>
      <sz val="8"/>
      <color theme="1"/>
      <name val="Arial"/>
      <family val="2"/>
    </font>
    <font>
      <sz val="7"/>
      <color rgb="FFFF0000"/>
      <name val="Arial"/>
      <family val="2"/>
    </font>
    <font>
      <sz val="7"/>
      <color rgb="FF0000CC"/>
      <name val="Symbol"/>
      <family val="1"/>
      <charset val="2"/>
    </font>
    <font>
      <sz val="8"/>
      <color rgb="FF00B050"/>
      <name val="Arial"/>
      <family val="2"/>
    </font>
    <font>
      <sz val="8"/>
      <color theme="0"/>
      <name val="Arial"/>
      <family val="2"/>
    </font>
    <font>
      <sz val="11"/>
      <name val="Arial"/>
      <family val="2"/>
    </font>
    <font>
      <b/>
      <sz val="7"/>
      <name val="Calibri"/>
      <family val="2"/>
    </font>
    <font>
      <i/>
      <sz val="8"/>
      <color rgb="FF0000CC"/>
      <name val="Arial"/>
      <family val="2"/>
    </font>
    <font>
      <sz val="6"/>
      <color rgb="FFFF0000"/>
      <name val="Arial"/>
      <family val="2"/>
    </font>
    <font>
      <i/>
      <sz val="7"/>
      <color rgb="FF0000CC"/>
      <name val="Arial"/>
      <family val="2"/>
    </font>
    <font>
      <sz val="5"/>
      <name val="Arial"/>
      <family val="2"/>
    </font>
    <font>
      <sz val="7"/>
      <color indexed="8"/>
      <name val="Calibri"/>
      <family val="2"/>
      <scheme val="minor"/>
    </font>
    <font>
      <sz val="6"/>
      <color rgb="FF0000CC"/>
      <name val="Arial"/>
      <family val="2"/>
    </font>
    <font>
      <sz val="7"/>
      <color theme="1"/>
      <name val="Calibri"/>
      <family val="2"/>
    </font>
    <font>
      <b/>
      <u/>
      <sz val="8"/>
      <color theme="1"/>
      <name val="Arial"/>
      <family val="2"/>
    </font>
    <font>
      <b/>
      <sz val="7"/>
      <color rgb="FFFF0000"/>
      <name val="Arial"/>
      <family val="2"/>
    </font>
    <font>
      <sz val="7"/>
      <name val="Calibri"/>
      <family val="2"/>
      <scheme val="minor"/>
    </font>
    <font>
      <sz val="8"/>
      <color rgb="FF0000CC"/>
      <name val="Calibri"/>
      <family val="2"/>
      <scheme val="minor"/>
    </font>
    <font>
      <sz val="7"/>
      <color rgb="FF0000CC"/>
      <name val="Calibri"/>
      <family val="2"/>
      <scheme val="minor"/>
    </font>
    <font>
      <b/>
      <sz val="10"/>
      <color rgb="FF0000CC"/>
      <name val="Arial"/>
      <family val="2"/>
    </font>
    <font>
      <sz val="7"/>
      <color rgb="FF3333FF"/>
      <name val="Arial"/>
      <family val="2"/>
    </font>
    <font>
      <sz val="7"/>
      <color rgb="FF3333FF"/>
      <name val="Calibri"/>
      <family val="2"/>
      <scheme val="minor"/>
    </font>
    <font>
      <b/>
      <sz val="8"/>
      <color rgb="FF3333FF"/>
      <name val="Arial"/>
      <family val="2"/>
    </font>
    <font>
      <i/>
      <sz val="7"/>
      <color rgb="FF3333FF"/>
      <name val="Arial"/>
      <family val="2"/>
    </font>
    <font>
      <sz val="8"/>
      <name val="Calibri"/>
      <family val="2"/>
      <scheme val="minor"/>
    </font>
    <font>
      <b/>
      <sz val="8"/>
      <color indexed="8"/>
      <name val="Calibri"/>
      <family val="2"/>
      <scheme val="minor"/>
    </font>
    <font>
      <b/>
      <vertAlign val="superscript"/>
      <sz val="9"/>
      <name val="Arial"/>
      <family val="2"/>
    </font>
    <font>
      <sz val="10"/>
      <color indexed="12"/>
      <name val="Arial"/>
      <family val="2"/>
    </font>
    <font>
      <i/>
      <sz val="9"/>
      <name val="Arial"/>
      <family val="2"/>
    </font>
    <font>
      <b/>
      <sz val="9"/>
      <color rgb="FF0000CC"/>
      <name val="Calibri"/>
      <family val="2"/>
      <scheme val="minor"/>
    </font>
    <font>
      <sz val="7"/>
      <color indexed="8"/>
      <name val="Calibri"/>
      <family val="2"/>
    </font>
    <font>
      <sz val="8"/>
      <color theme="1"/>
      <name val="Calibri"/>
      <family val="2"/>
      <scheme val="minor"/>
    </font>
    <font>
      <sz val="7"/>
      <color theme="1"/>
      <name val="Calibri"/>
      <family val="2"/>
      <scheme val="minor"/>
    </font>
    <font>
      <i/>
      <sz val="10"/>
      <color theme="1"/>
      <name val="Times New Roman"/>
      <family val="1"/>
    </font>
    <font>
      <sz val="8"/>
      <color theme="1"/>
      <name val="Arial"/>
      <family val="2"/>
    </font>
    <font>
      <b/>
      <sz val="8"/>
      <color theme="1"/>
      <name val="Symbol"/>
      <family val="1"/>
      <charset val="2"/>
    </font>
    <font>
      <b/>
      <vertAlign val="subscript"/>
      <sz val="8"/>
      <color theme="1"/>
      <name val="Times New Roman"/>
      <family val="1"/>
    </font>
    <font>
      <vertAlign val="subscript"/>
      <sz val="8"/>
      <color theme="1"/>
      <name val="Times New Roman"/>
      <family val="1"/>
    </font>
    <font>
      <sz val="8"/>
      <color theme="1"/>
      <name val="Times New Roman"/>
      <family val="1"/>
    </font>
    <font>
      <b/>
      <sz val="8"/>
      <color theme="1"/>
      <name val="Times New Roman"/>
      <family val="1"/>
    </font>
    <font>
      <sz val="10"/>
      <name val="Calibri"/>
      <family val="2"/>
    </font>
    <font>
      <b/>
      <vertAlign val="subscript"/>
      <sz val="8"/>
      <color theme="1"/>
      <name val="Arial"/>
      <family val="2"/>
    </font>
    <font>
      <sz val="8"/>
      <color theme="0" tint="-0.34998626667073579"/>
      <name val="Calibri"/>
      <family val="2"/>
      <scheme val="minor"/>
    </font>
    <font>
      <vertAlign val="superscript"/>
      <sz val="8"/>
      <color theme="0" tint="-0.34998626667073579"/>
      <name val="Calibri"/>
      <family val="2"/>
      <scheme val="minor"/>
    </font>
    <font>
      <b/>
      <sz val="8"/>
      <color theme="0" tint="-0.34998626667073579"/>
      <name val="Times New Roman"/>
      <family val="1"/>
    </font>
    <font>
      <sz val="8"/>
      <color theme="0" tint="-0.34998626667073579"/>
      <name val="Times New Roman"/>
      <family val="1"/>
    </font>
    <font>
      <sz val="7"/>
      <color theme="0" tint="-0.34998626667073579"/>
      <name val="Arial"/>
      <family val="2"/>
    </font>
    <font>
      <i/>
      <sz val="7"/>
      <color indexed="12"/>
      <name val="Arial"/>
      <family val="2"/>
    </font>
    <font>
      <b/>
      <sz val="10"/>
      <color rgb="FF3333FF"/>
      <name val="Arial"/>
      <family val="2"/>
    </font>
    <font>
      <sz val="7"/>
      <color rgb="FF000000"/>
      <name val="Arial"/>
      <family val="2"/>
    </font>
    <font>
      <b/>
      <sz val="7"/>
      <color rgb="FF000000"/>
      <name val="Arial"/>
      <family val="2"/>
    </font>
    <font>
      <b/>
      <sz val="7"/>
      <color rgb="FF3333FF"/>
      <name val="Arial"/>
      <family val="2"/>
    </font>
    <font>
      <sz val="9"/>
      <color theme="1"/>
      <name val="Calibri"/>
      <family val="2"/>
      <scheme val="minor"/>
    </font>
    <font>
      <sz val="6"/>
      <color rgb="FF000000"/>
      <name val="Arial"/>
      <family val="2"/>
    </font>
    <font>
      <sz val="3"/>
      <color theme="0"/>
      <name val="Arial"/>
      <family val="2"/>
    </font>
    <font>
      <b/>
      <i/>
      <sz val="10"/>
      <name val="Arial"/>
      <family val="2"/>
    </font>
    <font>
      <sz val="9"/>
      <name val="Calibri"/>
      <family val="2"/>
    </font>
    <font>
      <sz val="7"/>
      <color rgb="FFFF0000"/>
      <name val="Calibri"/>
      <family val="2"/>
      <scheme val="minor"/>
    </font>
    <font>
      <sz val="4"/>
      <color indexed="8"/>
      <name val="Calibri"/>
      <family val="2"/>
      <scheme val="minor"/>
    </font>
    <font>
      <b/>
      <sz val="8"/>
      <color rgb="FF0000CC"/>
      <name val="Calibri"/>
      <family val="2"/>
      <scheme val="minor"/>
    </font>
    <font>
      <sz val="11"/>
      <color indexed="8"/>
      <name val="Calibri"/>
      <family val="2"/>
    </font>
    <font>
      <b/>
      <sz val="10"/>
      <name val="Arial Black"/>
      <family val="2"/>
    </font>
    <font>
      <b/>
      <sz val="9"/>
      <color indexed="8"/>
      <name val="Arial Black"/>
      <family val="2"/>
    </font>
    <font>
      <sz val="6"/>
      <color indexed="10"/>
      <name val="Arial"/>
      <family val="2"/>
    </font>
    <font>
      <vertAlign val="superscript"/>
      <sz val="6"/>
      <color rgb="FF000000"/>
      <name val="Arial"/>
      <family val="2"/>
    </font>
    <font>
      <sz val="6"/>
      <name val="Calibri"/>
      <family val="2"/>
      <scheme val="minor"/>
    </font>
    <font>
      <vertAlign val="superscript"/>
      <sz val="8"/>
      <name val="Calibri"/>
      <family val="2"/>
      <scheme val="minor"/>
    </font>
    <font>
      <i/>
      <sz val="8"/>
      <color rgb="FF0000CC"/>
      <name val="Calibri"/>
      <family val="2"/>
      <scheme val="minor"/>
    </font>
    <font>
      <b/>
      <sz val="8"/>
      <name val="Calibri"/>
      <family val="2"/>
      <scheme val="minor"/>
    </font>
    <font>
      <b/>
      <sz val="7"/>
      <name val="Calibri"/>
      <family val="2"/>
      <scheme val="minor"/>
    </font>
    <font>
      <b/>
      <sz val="7"/>
      <color rgb="FFFF0000"/>
      <name val="Calibri"/>
      <family val="2"/>
      <scheme val="minor"/>
    </font>
    <font>
      <sz val="6"/>
      <color indexed="8"/>
      <name val="Calibri"/>
      <family val="2"/>
      <scheme val="minor"/>
    </font>
    <font>
      <sz val="7"/>
      <color indexed="12"/>
      <name val="Cambria"/>
      <family val="1"/>
    </font>
    <font>
      <sz val="8"/>
      <color indexed="8"/>
      <name val="Calibri"/>
      <family val="2"/>
      <scheme val="minor"/>
    </font>
    <font>
      <i/>
      <sz val="7"/>
      <color rgb="FF0000CC"/>
      <name val="Calibri"/>
      <family val="2"/>
      <scheme val="minor"/>
    </font>
    <font>
      <vertAlign val="subscript"/>
      <sz val="7"/>
      <color rgb="FF000000"/>
      <name val="Arial"/>
      <family val="2"/>
    </font>
    <font>
      <sz val="5"/>
      <color rgb="FF000000"/>
      <name val="Arial"/>
      <family val="2"/>
    </font>
    <font>
      <vertAlign val="superscript"/>
      <sz val="6"/>
      <name val="Calibri"/>
      <family val="2"/>
      <scheme val="minor"/>
    </font>
    <font>
      <sz val="9"/>
      <color indexed="81"/>
      <name val="Tahoma"/>
      <family val="2"/>
    </font>
    <font>
      <sz val="7"/>
      <color rgb="FF3333FF"/>
      <name val="Calibri"/>
      <family val="2"/>
    </font>
    <font>
      <i/>
      <sz val="6"/>
      <color rgb="FFFF0000"/>
      <name val="Arial"/>
      <family val="2"/>
    </font>
    <font>
      <sz val="6"/>
      <color rgb="FFFF0000"/>
      <name val="Calibri"/>
      <family val="2"/>
      <scheme val="minor"/>
    </font>
    <font>
      <sz val="6"/>
      <color indexed="81"/>
      <name val="Tahoma"/>
      <family val="2"/>
    </font>
    <font>
      <b/>
      <sz val="7"/>
      <color rgb="FFFF0000"/>
      <name val="Arial Black"/>
      <family val="2"/>
    </font>
    <font>
      <b/>
      <sz val="8"/>
      <color rgb="FFFF0000"/>
      <name val="Calibri"/>
      <family val="2"/>
      <scheme val="minor"/>
    </font>
    <font>
      <sz val="6"/>
      <color rgb="FF0000CC"/>
      <name val="Calibri"/>
      <family val="2"/>
      <scheme val="minor"/>
    </font>
    <font>
      <sz val="5"/>
      <color indexed="8"/>
      <name val="Calibri"/>
      <family val="2"/>
      <scheme val="minor"/>
    </font>
    <font>
      <b/>
      <sz val="7"/>
      <color indexed="8"/>
      <name val="Calibri"/>
      <family val="2"/>
      <scheme val="minor"/>
    </font>
    <font>
      <sz val="7"/>
      <color rgb="FF000000"/>
      <name val="Calibri"/>
      <family val="2"/>
      <scheme val="minor"/>
    </font>
    <font>
      <b/>
      <sz val="10"/>
      <color indexed="8"/>
      <name val="Arial Black"/>
      <family val="2"/>
    </font>
    <font>
      <b/>
      <sz val="8"/>
      <color indexed="8"/>
      <name val="Arial Black"/>
      <family val="2"/>
    </font>
    <font>
      <sz val="7"/>
      <color rgb="FF000000"/>
      <name val="Symbol"/>
      <family val="1"/>
      <charset val="2"/>
    </font>
    <font>
      <sz val="7"/>
      <color indexed="8"/>
      <name val="Arial"/>
      <family val="1"/>
      <charset val="2"/>
    </font>
    <font>
      <b/>
      <sz val="8"/>
      <name val="Symbol"/>
      <family val="1"/>
      <charset val="2"/>
    </font>
    <font>
      <vertAlign val="superscript"/>
      <sz val="7"/>
      <color rgb="FF000000"/>
      <name val="Symbol"/>
      <family val="1"/>
      <charset val="2"/>
    </font>
    <font>
      <b/>
      <sz val="9"/>
      <color rgb="FF0000CC"/>
      <name val="Arial Black"/>
      <family val="2"/>
    </font>
    <font>
      <vertAlign val="superscript"/>
      <sz val="6"/>
      <color rgb="FF0000CC"/>
      <name val="Arial"/>
      <family val="2"/>
    </font>
    <font>
      <sz val="6"/>
      <color rgb="FF000000"/>
      <name val="Symbol"/>
      <family val="1"/>
      <charset val="2"/>
    </font>
    <font>
      <sz val="6"/>
      <color indexed="8"/>
      <name val="Arial"/>
      <family val="1"/>
      <charset val="2"/>
    </font>
    <font>
      <i/>
      <sz val="6"/>
      <color rgb="FF0000CC"/>
      <name val="Calibri"/>
      <family val="2"/>
      <scheme val="minor"/>
    </font>
    <font>
      <sz val="7"/>
      <color indexed="12"/>
      <name val="Calibri"/>
      <family val="2"/>
      <scheme val="minor"/>
    </font>
    <font>
      <vertAlign val="superscript"/>
      <sz val="7"/>
      <color rgb="FF0000CC"/>
      <name val="Calibri"/>
      <family val="2"/>
      <scheme val="minor"/>
    </font>
    <font>
      <sz val="6.5"/>
      <color indexed="8"/>
      <name val="Calibri"/>
      <family val="2"/>
      <scheme val="minor"/>
    </font>
    <font>
      <sz val="6.5"/>
      <color theme="0"/>
      <name val="Calibri"/>
      <family val="2"/>
      <scheme val="minor"/>
    </font>
    <font>
      <sz val="8"/>
      <color rgb="FF000000"/>
      <name val="Calibri"/>
      <family val="2"/>
      <scheme val="minor"/>
    </font>
    <font>
      <vertAlign val="superscript"/>
      <sz val="7"/>
      <color rgb="FF000000"/>
      <name val="Arial"/>
      <family val="2"/>
    </font>
    <font>
      <sz val="7"/>
      <color indexed="81"/>
      <name val="Tahoma"/>
      <family val="2"/>
    </font>
    <font>
      <u/>
      <sz val="7"/>
      <color indexed="81"/>
      <name val="Tahoma"/>
      <family val="2"/>
    </font>
    <font>
      <i/>
      <sz val="7"/>
      <name val="Calibri"/>
      <family val="2"/>
      <scheme val="minor"/>
    </font>
    <font>
      <sz val="7"/>
      <name val="Arial Narrow"/>
      <family val="2"/>
    </font>
    <font>
      <sz val="8"/>
      <name val="Arial Narrow"/>
      <family val="2"/>
    </font>
    <font>
      <b/>
      <sz val="9"/>
      <name val="Arial Black"/>
      <family val="2"/>
    </font>
    <font>
      <sz val="7"/>
      <color indexed="8"/>
      <name val="Arial Narrow"/>
      <family val="2"/>
    </font>
    <font>
      <sz val="6"/>
      <name val="Arial Narrow"/>
      <family val="2"/>
    </font>
    <font>
      <b/>
      <sz val="9"/>
      <color indexed="8"/>
      <name val="Calibri"/>
      <family val="2"/>
      <scheme val="minor"/>
    </font>
    <font>
      <sz val="6"/>
      <color rgb="FF0000CC"/>
      <name val="Arial Narrow"/>
      <family val="2"/>
    </font>
    <font>
      <sz val="8"/>
      <color indexed="8"/>
      <name val="Arial Narrow"/>
      <family val="2"/>
    </font>
    <font>
      <sz val="7"/>
      <color rgb="FF0000CC"/>
      <name val="Arial Narrow"/>
      <family val="2"/>
    </font>
    <font>
      <sz val="8"/>
      <color rgb="FF0000CC"/>
      <name val="Arial Narrow"/>
      <family val="2"/>
    </font>
    <font>
      <sz val="7"/>
      <color rgb="FF3333FF"/>
      <name val="Arial Narrow"/>
      <family val="2"/>
    </font>
    <font>
      <sz val="7"/>
      <color indexed="81"/>
      <name val="Calibri"/>
      <family val="2"/>
      <scheme val="minor"/>
    </font>
    <font>
      <i/>
      <sz val="6"/>
      <name val="Arial Narrow"/>
      <family val="2"/>
    </font>
    <font>
      <i/>
      <sz val="6"/>
      <color indexed="8"/>
      <name val="Arial Narrow"/>
      <family val="2"/>
    </font>
    <font>
      <sz val="7"/>
      <color rgb="FFFF0000"/>
      <name val="Arial Narrow"/>
      <family val="2"/>
    </font>
    <font>
      <b/>
      <i/>
      <sz val="9"/>
      <color rgb="FF0000CC"/>
      <name val="Calibri"/>
      <family val="2"/>
      <scheme val="minor"/>
    </font>
    <font>
      <sz val="8"/>
      <color indexed="8"/>
      <name val="Arial Black"/>
      <family val="2"/>
    </font>
    <font>
      <vertAlign val="subscript"/>
      <sz val="8"/>
      <color rgb="FF000000"/>
      <name val="Arial Black"/>
      <family val="2"/>
    </font>
    <font>
      <b/>
      <sz val="8"/>
      <name val="Arial Black"/>
      <family val="2"/>
    </font>
    <font>
      <sz val="8"/>
      <color indexed="81"/>
      <name val="Tahoma"/>
      <family val="2"/>
    </font>
    <font>
      <sz val="8"/>
      <color rgb="FF000000"/>
      <name val="Symbol"/>
      <family val="1"/>
      <charset val="2"/>
    </font>
    <font>
      <b/>
      <sz val="7"/>
      <color indexed="8"/>
      <name val="Arial Narrow"/>
      <family val="2"/>
    </font>
    <font>
      <vertAlign val="subscript"/>
      <sz val="5"/>
      <color rgb="FF000000"/>
      <name val="Arial"/>
      <family val="2"/>
    </font>
    <font>
      <i/>
      <sz val="7"/>
      <color rgb="FF0000CC"/>
      <name val="Arial Narrow"/>
      <family val="2"/>
    </font>
    <font>
      <sz val="8.0500000000000007"/>
      <name val="Symbol"/>
      <family val="1"/>
      <charset val="2"/>
    </font>
    <font>
      <sz val="11"/>
      <color theme="0" tint="-0.249977111117893"/>
      <name val="Arial"/>
      <family val="2"/>
    </font>
    <font>
      <b/>
      <sz val="11"/>
      <color theme="0" tint="-0.249977111117893"/>
      <name val="Arial"/>
      <family val="2"/>
    </font>
    <font>
      <sz val="10"/>
      <color theme="0" tint="-0.249977111117893"/>
      <name val="Arial"/>
      <family val="2"/>
    </font>
    <font>
      <b/>
      <sz val="8"/>
      <color theme="0" tint="-0.249977111117893"/>
      <name val="Arial"/>
      <family val="2"/>
    </font>
    <font>
      <sz val="7"/>
      <color theme="0" tint="-0.249977111117893"/>
      <name val="Calibri"/>
      <family val="2"/>
      <scheme val="minor"/>
    </font>
    <font>
      <sz val="6"/>
      <color theme="0" tint="-0.249977111117893"/>
      <name val="Arial"/>
      <family val="2"/>
    </font>
    <font>
      <vertAlign val="subscript"/>
      <sz val="6"/>
      <color theme="0" tint="-0.249977111117893"/>
      <name val="Arial"/>
      <family val="2"/>
    </font>
    <font>
      <sz val="8"/>
      <color theme="0" tint="-0.249977111117893"/>
      <name val="Calibri"/>
      <family val="2"/>
      <scheme val="minor"/>
    </font>
    <font>
      <sz val="6"/>
      <color theme="0" tint="-0.249977111117893"/>
      <name val="Calibri"/>
      <family val="2"/>
      <scheme val="minor"/>
    </font>
    <font>
      <sz val="5"/>
      <color theme="0" tint="-0.249977111117893"/>
      <name val="Calibri"/>
      <family val="2"/>
      <scheme val="minor"/>
    </font>
    <font>
      <b/>
      <sz val="7"/>
      <color theme="0" tint="-0.249977111117893"/>
      <name val="Calibri"/>
      <family val="2"/>
      <scheme val="minor"/>
    </font>
    <font>
      <sz val="4"/>
      <color theme="0" tint="-0.249977111117893"/>
      <name val="Arial"/>
      <family val="2"/>
    </font>
    <font>
      <i/>
      <sz val="7"/>
      <color theme="0" tint="-0.249977111117893"/>
      <name val="Calibri"/>
      <family val="2"/>
      <scheme val="minor"/>
    </font>
    <font>
      <sz val="3"/>
      <color theme="0" tint="-0.249977111117893"/>
      <name val="Arial"/>
      <family val="2"/>
    </font>
    <font>
      <i/>
      <sz val="6"/>
      <color theme="0" tint="-0.249977111117893"/>
      <name val="Calibri"/>
      <family val="2"/>
      <scheme val="minor"/>
    </font>
    <font>
      <vertAlign val="subscript"/>
      <sz val="7"/>
      <color theme="0" tint="-0.249977111117893"/>
      <name val="Calibri"/>
      <family val="2"/>
      <scheme val="minor"/>
    </font>
    <font>
      <sz val="5.5"/>
      <color theme="0" tint="-0.249977111117893"/>
      <name val="Calibri"/>
      <family val="2"/>
      <scheme val="minor"/>
    </font>
    <font>
      <vertAlign val="subscript"/>
      <sz val="8"/>
      <color theme="0" tint="-0.249977111117893"/>
      <name val="Calibri"/>
      <family val="2"/>
      <scheme val="minor"/>
    </font>
    <font>
      <sz val="6"/>
      <color theme="0" tint="-0.249977111117893"/>
      <name val="Arial Narrow"/>
      <family val="2"/>
    </font>
    <font>
      <b/>
      <sz val="8"/>
      <color theme="0" tint="-0.249977111117893"/>
      <name val="Calibri"/>
      <family val="2"/>
      <scheme val="minor"/>
    </font>
    <font>
      <b/>
      <sz val="9"/>
      <color theme="0" tint="-0.249977111117893"/>
      <name val="Calibri"/>
      <family val="2"/>
      <scheme val="minor"/>
    </font>
    <font>
      <sz val="7"/>
      <color theme="0" tint="-0.249977111117893"/>
      <name val="Arial"/>
      <family val="2"/>
    </font>
    <font>
      <vertAlign val="subscript"/>
      <sz val="7"/>
      <color theme="0" tint="-0.249977111117893"/>
      <name val="Arial"/>
      <family val="2"/>
    </font>
    <font>
      <sz val="11"/>
      <color theme="0" tint="-0.249977111117893"/>
      <name val="Calibri"/>
      <family val="2"/>
      <scheme val="minor"/>
    </font>
    <font>
      <sz val="8"/>
      <color theme="0" tint="-0.249977111117893"/>
      <name val="Arial"/>
      <family val="2"/>
    </font>
    <font>
      <b/>
      <i/>
      <sz val="8"/>
      <color theme="0" tint="-0.249977111117893"/>
      <name val="Calibri"/>
      <family val="2"/>
      <scheme val="minor"/>
    </font>
    <font>
      <sz val="10"/>
      <color theme="0" tint="-0.249977111117893"/>
      <name val="Calibri"/>
      <family val="2"/>
      <scheme val="minor"/>
    </font>
    <font>
      <sz val="9"/>
      <color theme="0" tint="-0.249977111117893"/>
      <name val="Arial"/>
      <family val="2"/>
    </font>
    <font>
      <b/>
      <sz val="7"/>
      <color theme="0" tint="-0.249977111117893"/>
      <name val="Arial"/>
      <family val="2"/>
    </font>
    <font>
      <b/>
      <sz val="10"/>
      <color theme="0" tint="-0.249977111117893"/>
      <name val="Arial"/>
      <family val="2"/>
    </font>
    <font>
      <b/>
      <sz val="9"/>
      <color theme="0" tint="-0.249977111117893"/>
      <name val="Arial"/>
      <family val="2"/>
    </font>
    <font>
      <b/>
      <sz val="9"/>
      <color theme="0" tint="-0.249977111117893"/>
      <name val="Symbol"/>
      <family val="1"/>
      <charset val="2"/>
    </font>
    <font>
      <b/>
      <vertAlign val="subscript"/>
      <sz val="9"/>
      <color theme="0" tint="-0.249977111117893"/>
      <name val="Arial"/>
      <family val="2"/>
    </font>
    <font>
      <i/>
      <sz val="7"/>
      <color theme="0" tint="-0.249977111117893"/>
      <name val="Arial"/>
      <family val="2"/>
    </font>
    <font>
      <b/>
      <vertAlign val="subscript"/>
      <sz val="8"/>
      <color theme="0" tint="-0.249977111117893"/>
      <name val="Calibri"/>
      <family val="2"/>
      <scheme val="minor"/>
    </font>
    <font>
      <sz val="9"/>
      <color theme="0" tint="-0.249977111117893"/>
      <name val="Calibri"/>
      <family val="2"/>
      <scheme val="minor"/>
    </font>
    <font>
      <sz val="9"/>
      <color theme="0" tint="-0.249977111117893"/>
      <name val="Symbol"/>
      <family val="1"/>
      <charset val="2"/>
    </font>
    <font>
      <vertAlign val="superscript"/>
      <sz val="8"/>
      <color theme="0" tint="-0.249977111117893"/>
      <name val="Calibri"/>
      <family val="2"/>
      <scheme val="minor"/>
    </font>
    <font>
      <b/>
      <i/>
      <sz val="7"/>
      <color theme="0" tint="-0.249977111117893"/>
      <name val="Arial"/>
      <family val="2"/>
    </font>
    <font>
      <i/>
      <sz val="6"/>
      <color theme="0" tint="-0.249977111117893"/>
      <name val="Arial"/>
      <family val="2"/>
    </font>
    <font>
      <i/>
      <sz val="8"/>
      <color theme="0" tint="-0.249977111117893"/>
      <name val="Arial"/>
      <family val="2"/>
    </font>
    <font>
      <vertAlign val="superscript"/>
      <sz val="7"/>
      <color theme="0" tint="-0.249977111117893"/>
      <name val="Calibri"/>
      <family val="2"/>
      <scheme val="minor"/>
    </font>
    <font>
      <i/>
      <sz val="7"/>
      <color rgb="FFFF9999"/>
      <name val="Calibri"/>
      <family val="2"/>
      <scheme val="minor"/>
    </font>
    <font>
      <sz val="7"/>
      <color rgb="FFFF9999"/>
      <name val="Calibri"/>
      <family val="2"/>
      <scheme val="minor"/>
    </font>
    <font>
      <sz val="11"/>
      <color rgb="FFFF9999"/>
      <name val="Calibri"/>
      <family val="2"/>
      <scheme val="minor"/>
    </font>
    <font>
      <i/>
      <sz val="8"/>
      <color theme="0" tint="-0.249977111117893"/>
      <name val="Calibri"/>
      <family val="2"/>
      <scheme val="minor"/>
    </font>
    <font>
      <strike/>
      <sz val="10"/>
      <color theme="0" tint="-0.249977111117893"/>
      <name val="Cambria"/>
      <family val="1"/>
    </font>
    <font>
      <sz val="8"/>
      <color theme="0" tint="-0.249977111117893"/>
      <name val="Arial Narrow"/>
      <family val="2"/>
    </font>
    <font>
      <b/>
      <vertAlign val="superscript"/>
      <sz val="9"/>
      <color theme="0" tint="-0.249977111117893"/>
      <name val="Arial"/>
      <family val="2"/>
    </font>
    <font>
      <sz val="8"/>
      <color theme="0" tint="-0.249977111117893"/>
      <name val="Calibri"/>
      <family val="2"/>
    </font>
    <font>
      <b/>
      <sz val="12"/>
      <color theme="0"/>
      <name val="Arial"/>
      <family val="2"/>
    </font>
    <font>
      <vertAlign val="superscript"/>
      <sz val="8"/>
      <color theme="0" tint="-0.249977111117893"/>
      <name val="Arial Narrow"/>
      <family val="2"/>
    </font>
    <font>
      <vertAlign val="superscript"/>
      <sz val="7"/>
      <color theme="0" tint="-0.34998626667073579"/>
      <name val="Arial"/>
      <family val="2"/>
    </font>
    <font>
      <sz val="9"/>
      <color theme="1"/>
      <name val="Arial Narrow"/>
      <family val="2"/>
    </font>
    <font>
      <vertAlign val="subscript"/>
      <sz val="8"/>
      <color theme="0" tint="-0.249977111117893"/>
      <name val="Symbol"/>
      <family val="1"/>
      <charset val="2"/>
    </font>
    <font>
      <sz val="8"/>
      <color rgb="FFFF0000"/>
      <name val="Calibri"/>
      <family val="2"/>
      <scheme val="minor"/>
    </font>
    <font>
      <sz val="8"/>
      <color theme="3" tint="0.39997558519241921"/>
      <name val="Arial"/>
      <family val="2"/>
    </font>
    <font>
      <sz val="7"/>
      <color theme="3" tint="0.39997558519241921"/>
      <name val="Arial"/>
      <family val="2"/>
    </font>
    <font>
      <strike/>
      <sz val="10"/>
      <color theme="3" tint="0.39997558519241921"/>
      <name val="Arial"/>
      <family val="2"/>
    </font>
    <font>
      <sz val="10"/>
      <color theme="3" tint="0.39997558519241921"/>
      <name val="Arial"/>
      <family val="2"/>
    </font>
    <font>
      <u/>
      <sz val="7"/>
      <color theme="3" tint="0.39997558519241921"/>
      <name val="Arial"/>
      <family val="2"/>
    </font>
    <font>
      <vertAlign val="subscript"/>
      <sz val="7"/>
      <color rgb="FF0000CC"/>
      <name val="Arial"/>
      <family val="2"/>
    </font>
    <font>
      <vertAlign val="subscript"/>
      <sz val="7"/>
      <color rgb="FF0000CC"/>
      <name val="Symbol"/>
      <family val="1"/>
      <charset val="2"/>
    </font>
    <font>
      <sz val="7"/>
      <color rgb="FF0000CC"/>
      <name val="Symbol"/>
      <family val="2"/>
      <charset val="2"/>
    </font>
    <font>
      <sz val="7"/>
      <color rgb="FF0000CC"/>
      <name val="Arial Black"/>
      <family val="2"/>
    </font>
    <font>
      <b/>
      <sz val="7"/>
      <color indexed="12"/>
      <name val="Arial Black"/>
      <family val="2"/>
    </font>
    <font>
      <b/>
      <sz val="7"/>
      <name val="Arial Black"/>
      <family val="2"/>
    </font>
    <font>
      <b/>
      <sz val="7"/>
      <color indexed="8"/>
      <name val="Arial Black"/>
      <family val="2"/>
    </font>
    <font>
      <sz val="7"/>
      <name val="Arial Black"/>
      <family val="2"/>
    </font>
    <font>
      <b/>
      <sz val="7"/>
      <color rgb="FF0000CC"/>
      <name val="Arial Black"/>
      <family val="2"/>
    </font>
    <font>
      <b/>
      <i/>
      <sz val="9"/>
      <name val="Arial"/>
      <family val="2"/>
    </font>
    <font>
      <b/>
      <i/>
      <sz val="9"/>
      <name val="Arial Black"/>
      <family val="2"/>
    </font>
    <font>
      <sz val="6"/>
      <color rgb="FF3333FF"/>
      <name val="Arial Narrow"/>
      <family val="2"/>
    </font>
    <font>
      <b/>
      <i/>
      <sz val="9"/>
      <color rgb="FF0000FF"/>
      <name val="Arial"/>
      <family val="2"/>
    </font>
    <font>
      <i/>
      <sz val="8"/>
      <color rgb="FF00B050"/>
      <name val="Arial"/>
      <family val="2"/>
    </font>
    <font>
      <sz val="6"/>
      <color indexed="12"/>
      <name val="Arial Narrow"/>
      <family val="2"/>
    </font>
    <font>
      <i/>
      <sz val="10"/>
      <name val="Arial"/>
      <family val="2"/>
    </font>
    <font>
      <i/>
      <sz val="10"/>
      <name val="Symbol"/>
      <family val="1"/>
      <charset val="2"/>
    </font>
    <font>
      <sz val="7"/>
      <color rgb="FF0066FF"/>
      <name val="Arial"/>
      <family val="2"/>
    </font>
    <font>
      <sz val="7"/>
      <color theme="3" tint="0.39997558519241921"/>
      <name val="Calibri"/>
      <family val="2"/>
      <scheme val="minor"/>
    </font>
    <font>
      <b/>
      <i/>
      <sz val="7"/>
      <color rgb="FF3333FF"/>
      <name val="Arial Narrow"/>
      <family val="2"/>
    </font>
    <font>
      <sz val="9"/>
      <name val="Calibri"/>
      <family val="2"/>
      <scheme val="minor"/>
    </font>
    <font>
      <b/>
      <sz val="8"/>
      <color rgb="FF3333FF"/>
      <name val="Calibri"/>
      <family val="2"/>
      <scheme val="minor"/>
    </font>
    <font>
      <sz val="9"/>
      <color theme="1"/>
      <name val="Arial"/>
      <family val="2"/>
    </font>
    <font>
      <vertAlign val="subscript"/>
      <sz val="9"/>
      <color theme="1"/>
      <name val="Arial"/>
      <family val="2"/>
    </font>
    <font>
      <b/>
      <sz val="10"/>
      <color rgb="FFFF0000"/>
      <name val="Calibri"/>
      <family val="2"/>
      <scheme val="minor"/>
    </font>
    <font>
      <b/>
      <i/>
      <sz val="7"/>
      <color rgb="FFFF0000"/>
      <name val="Calibri"/>
      <family val="2"/>
      <scheme val="minor"/>
    </font>
    <font>
      <vertAlign val="superscript"/>
      <sz val="7"/>
      <color rgb="FF000000"/>
      <name val="Calibri"/>
      <family val="2"/>
      <scheme val="minor"/>
    </font>
    <font>
      <sz val="7"/>
      <color rgb="FF000000"/>
      <name val="Arial"/>
      <family val="2"/>
      <charset val="2"/>
    </font>
    <font>
      <sz val="8"/>
      <color indexed="8"/>
      <name val="Arial"/>
      <family val="1"/>
      <charset val="2"/>
    </font>
    <font>
      <u/>
      <sz val="7"/>
      <color indexed="12"/>
      <name val="Arial"/>
      <family val="2"/>
    </font>
    <font>
      <sz val="7"/>
      <color indexed="12"/>
      <name val="Arial Black"/>
      <family val="2"/>
    </font>
    <font>
      <sz val="7"/>
      <color indexed="8"/>
      <name val="Arial Black"/>
      <family val="2"/>
    </font>
    <font>
      <b/>
      <i/>
      <sz val="9"/>
      <color rgb="FF0000CC"/>
      <name val="Arial"/>
      <family val="2"/>
    </font>
    <font>
      <b/>
      <i/>
      <sz val="8"/>
      <color rgb="FF0000CC"/>
      <name val="Arial"/>
      <family val="2"/>
    </font>
    <font>
      <i/>
      <u/>
      <sz val="8"/>
      <color rgb="FF0000CC"/>
      <name val="Arial"/>
      <family val="2"/>
    </font>
    <font>
      <b/>
      <sz val="7"/>
      <color rgb="FF0000CC"/>
      <name val="Arial"/>
      <family val="2"/>
      <charset val="2"/>
    </font>
    <font>
      <b/>
      <sz val="7"/>
      <color rgb="FF0000CC"/>
      <name val="Symbol"/>
      <family val="1"/>
      <charset val="2"/>
    </font>
    <font>
      <u/>
      <sz val="8"/>
      <color indexed="12"/>
      <name val="Calibri"/>
      <family val="2"/>
      <scheme val="minor"/>
    </font>
    <font>
      <strike/>
      <sz val="11"/>
      <color indexed="8"/>
      <name val="Arial"/>
      <family val="2"/>
    </font>
    <font>
      <strike/>
      <sz val="8"/>
      <color theme="0" tint="-0.249977111117893"/>
      <name val="Calibri"/>
      <family val="2"/>
      <scheme val="minor"/>
    </font>
    <font>
      <strike/>
      <sz val="8"/>
      <name val="Calibri"/>
      <family val="2"/>
      <scheme val="minor"/>
    </font>
    <font>
      <strike/>
      <sz val="8"/>
      <color rgb="FF0000CC"/>
      <name val="Calibri"/>
      <family val="2"/>
      <scheme val="minor"/>
    </font>
    <font>
      <strike/>
      <sz val="9"/>
      <color indexed="8"/>
      <name val="Arial"/>
      <family val="2"/>
    </font>
    <font>
      <i/>
      <vertAlign val="subscript"/>
      <sz val="8"/>
      <name val="Arial"/>
      <family val="2"/>
    </font>
    <font>
      <i/>
      <sz val="9"/>
      <name val="Symbol"/>
      <family val="1"/>
      <charset val="2"/>
    </font>
    <font>
      <i/>
      <vertAlign val="subscript"/>
      <sz val="9"/>
      <name val="Arial"/>
      <family val="2"/>
    </font>
    <font>
      <b/>
      <sz val="7"/>
      <name val="Arial Narrow"/>
      <family val="2"/>
    </font>
    <font>
      <b/>
      <i/>
      <vertAlign val="subscript"/>
      <sz val="9"/>
      <name val="Arial"/>
      <family val="2"/>
    </font>
    <font>
      <b/>
      <vertAlign val="subscript"/>
      <sz val="8"/>
      <name val="Arial"/>
      <family val="2"/>
    </font>
    <font>
      <u/>
      <sz val="7"/>
      <color indexed="8"/>
      <name val="Arial"/>
      <family val="2"/>
    </font>
    <font>
      <vertAlign val="superscript"/>
      <sz val="6"/>
      <name val="Arial"/>
      <family val="2"/>
    </font>
    <font>
      <sz val="6"/>
      <name val="Calibri"/>
      <family val="2"/>
    </font>
    <font>
      <b/>
      <sz val="9"/>
      <color theme="0" tint="-0.14999847407452621"/>
      <name val="Calibri"/>
      <family val="2"/>
      <scheme val="minor"/>
    </font>
    <font>
      <sz val="10"/>
      <color theme="0" tint="-0.14999847407452621"/>
      <name val="Arial"/>
      <family val="2"/>
    </font>
    <font>
      <sz val="11"/>
      <color theme="0" tint="-0.14999847407452621"/>
      <name val="Arial"/>
      <family val="2"/>
    </font>
    <font>
      <sz val="8"/>
      <color theme="0" tint="-0.14999847407452621"/>
      <name val="Arial"/>
      <family val="2"/>
    </font>
    <font>
      <i/>
      <sz val="7"/>
      <color theme="0" tint="-0.14999847407452621"/>
      <name val="Arial"/>
      <family val="2"/>
    </font>
    <font>
      <sz val="7"/>
      <color theme="0" tint="-0.14999847407452621"/>
      <name val="Calibri"/>
      <family val="2"/>
      <scheme val="minor"/>
    </font>
    <font>
      <sz val="7"/>
      <color theme="0" tint="-0.14999847407452621"/>
      <name val="Arial"/>
      <family val="2"/>
    </font>
    <font>
      <vertAlign val="superscript"/>
      <sz val="7"/>
      <color theme="0" tint="-0.14999847407452621"/>
      <name val="Arial"/>
      <family val="2"/>
    </font>
    <font>
      <vertAlign val="subscript"/>
      <sz val="8"/>
      <color theme="0" tint="-0.14999847407452621"/>
      <name val="Arial"/>
      <family val="2"/>
    </font>
    <font>
      <vertAlign val="subscript"/>
      <sz val="7"/>
      <color theme="0" tint="-0.14999847407452621"/>
      <name val="Arial"/>
      <family val="2"/>
    </font>
    <font>
      <i/>
      <vertAlign val="subscript"/>
      <sz val="7"/>
      <color theme="0" tint="-0.14999847407452621"/>
      <name val="Arial"/>
      <family val="2"/>
    </font>
    <font>
      <i/>
      <sz val="8"/>
      <color theme="0" tint="-0.14999847407452621"/>
      <name val="Calibri"/>
      <family val="2"/>
      <scheme val="minor"/>
    </font>
    <font>
      <sz val="8"/>
      <color theme="0" tint="-0.14999847407452621"/>
      <name val="Calibri"/>
      <family val="2"/>
      <scheme val="minor"/>
    </font>
    <font>
      <sz val="7"/>
      <color theme="0" tint="-0.14999847407452621"/>
      <name val="Arial Narrow"/>
      <family val="2"/>
    </font>
    <font>
      <i/>
      <sz val="7"/>
      <color theme="0" tint="-0.14999847407452621"/>
      <name val="Calibri"/>
      <family val="2"/>
      <scheme val="minor"/>
    </font>
    <font>
      <sz val="11"/>
      <color theme="0" tint="-0.14999847407452621"/>
      <name val="Calibri"/>
      <family val="2"/>
      <scheme val="minor"/>
    </font>
    <font>
      <i/>
      <sz val="8"/>
      <color theme="0" tint="-0.14999847407452621"/>
      <name val="Arial"/>
      <family val="2"/>
    </font>
    <font>
      <vertAlign val="superscript"/>
      <sz val="8"/>
      <color theme="0" tint="-0.14999847407452621"/>
      <name val="Calibri"/>
      <family val="2"/>
      <scheme val="minor"/>
    </font>
    <font>
      <sz val="6"/>
      <color theme="0" tint="-0.14999847407452621"/>
      <name val="Arial"/>
      <family val="2"/>
    </font>
    <font>
      <i/>
      <vertAlign val="subscript"/>
      <sz val="8"/>
      <color theme="0" tint="-0.14999847407452621"/>
      <name val="Arial"/>
      <family val="2"/>
    </font>
    <font>
      <u/>
      <sz val="7"/>
      <color rgb="FF0000CC"/>
      <name val="Calibri"/>
      <family val="2"/>
      <scheme val="minor"/>
    </font>
    <font>
      <i/>
      <sz val="9"/>
      <name val="Calibri"/>
      <family val="2"/>
      <scheme val="minor"/>
    </font>
    <font>
      <sz val="5"/>
      <color theme="0" tint="-0.249977111117893"/>
      <name val="Arial"/>
      <family val="2"/>
    </font>
    <font>
      <vertAlign val="subscript"/>
      <sz val="9"/>
      <color theme="0" tint="-0.249977111117893"/>
      <name val="Symbol"/>
      <family val="1"/>
      <charset val="2"/>
    </font>
    <font>
      <sz val="9"/>
      <color rgb="FFFF0000"/>
      <name val="Arial"/>
      <family val="2"/>
    </font>
    <font>
      <b/>
      <sz val="9"/>
      <color indexed="8"/>
      <name val="Arial Narrow"/>
      <family val="2"/>
    </font>
    <font>
      <b/>
      <sz val="7"/>
      <color rgb="FFFF66FF"/>
      <name val="Arial"/>
      <family val="2"/>
    </font>
    <font>
      <sz val="7"/>
      <color rgb="FFCC00FF"/>
      <name val="Calibri"/>
      <family val="2"/>
      <scheme val="minor"/>
    </font>
    <font>
      <b/>
      <sz val="8"/>
      <color rgb="FF9900FF"/>
      <name val="Calibri"/>
      <family val="2"/>
      <scheme val="minor"/>
    </font>
    <font>
      <b/>
      <sz val="8"/>
      <color rgb="FF9900FF"/>
      <name val="Arial"/>
      <family val="2"/>
    </font>
    <font>
      <sz val="7"/>
      <color rgb="FF9900FF"/>
      <name val="Arial"/>
      <family val="2"/>
    </font>
    <font>
      <sz val="11"/>
      <color rgb="FF9900FF"/>
      <name val="Arial"/>
      <family val="2"/>
    </font>
    <font>
      <sz val="8"/>
      <color rgb="FF9900FF"/>
      <name val="Calibri"/>
      <family val="2"/>
      <scheme val="minor"/>
    </font>
    <font>
      <u/>
      <sz val="8"/>
      <color rgb="FF9900FF"/>
      <name val="Calibri"/>
      <family val="2"/>
      <scheme val="minor"/>
    </font>
    <font>
      <i/>
      <sz val="7"/>
      <color rgb="FF9900FF"/>
      <name val="Arial"/>
      <family val="2"/>
    </font>
    <font>
      <i/>
      <vertAlign val="subscript"/>
      <sz val="7"/>
      <color rgb="FF9900FF"/>
      <name val="Arial"/>
      <family val="2"/>
    </font>
    <font>
      <b/>
      <sz val="7"/>
      <color rgb="FF9900FF"/>
      <name val="Arial"/>
      <family val="2"/>
    </font>
    <font>
      <sz val="7"/>
      <color rgb="FF9900FF"/>
      <name val="Calibri"/>
      <family val="2"/>
      <scheme val="minor"/>
    </font>
    <font>
      <sz val="7"/>
      <color rgb="FF9900FF"/>
      <name val="Symbol"/>
      <family val="1"/>
      <charset val="2"/>
    </font>
    <font>
      <i/>
      <sz val="8"/>
      <color rgb="FF9900FF"/>
      <name val="Symbol"/>
      <family val="1"/>
      <charset val="2"/>
    </font>
    <font>
      <i/>
      <sz val="8"/>
      <color rgb="FF9900FF"/>
      <name val="Calibri"/>
      <family val="2"/>
      <scheme val="minor"/>
    </font>
    <font>
      <sz val="6"/>
      <color rgb="FF9900FF"/>
      <name val="Calibri"/>
      <family val="2"/>
      <scheme val="minor"/>
    </font>
    <font>
      <b/>
      <sz val="8"/>
      <color rgb="FFCC00FF"/>
      <name val="Calibri"/>
      <family val="2"/>
    </font>
    <font>
      <i/>
      <vertAlign val="subscript"/>
      <sz val="10"/>
      <name val="Arial"/>
      <family val="2"/>
    </font>
    <font>
      <strike/>
      <sz val="8"/>
      <color theme="0" tint="-0.14999847407452621"/>
      <name val="Calibri"/>
      <family val="2"/>
      <scheme val="minor"/>
    </font>
    <font>
      <b/>
      <sz val="11"/>
      <name val="Arial Black"/>
      <family val="2"/>
    </font>
    <font>
      <b/>
      <sz val="10"/>
      <color indexed="8"/>
      <name val="Calibri"/>
      <family val="2"/>
      <scheme val="minor"/>
    </font>
    <font>
      <sz val="8"/>
      <color theme="0" tint="-0.34998626667073579"/>
      <name val="Arial"/>
      <family val="2"/>
    </font>
    <font>
      <b/>
      <sz val="8"/>
      <color theme="0" tint="-0.34998626667073579"/>
      <name val="Arial"/>
      <family val="2"/>
    </font>
    <font>
      <sz val="11"/>
      <color theme="0" tint="-0.34998626667073579"/>
      <name val="Arial"/>
      <family val="2"/>
    </font>
    <font>
      <sz val="10"/>
      <color theme="0" tint="-0.34998626667073579"/>
      <name val="Arial"/>
      <family val="2"/>
    </font>
    <font>
      <sz val="6"/>
      <color theme="0" tint="-0.34998626667073579"/>
      <name val="Arial"/>
      <family val="2"/>
    </font>
    <font>
      <i/>
      <sz val="9"/>
      <color theme="0" tint="-0.34998626667073579"/>
      <name val="Symbol"/>
      <family val="1"/>
      <charset val="2"/>
    </font>
    <font>
      <i/>
      <vertAlign val="subscript"/>
      <sz val="9"/>
      <color theme="0" tint="-0.34998626667073579"/>
      <name val="Arial"/>
      <family val="2"/>
    </font>
    <font>
      <sz val="9"/>
      <color theme="0" tint="-0.34998626667073579"/>
      <name val="Calibri"/>
      <family val="2"/>
      <scheme val="minor"/>
    </font>
    <font>
      <i/>
      <sz val="9"/>
      <color theme="0" tint="-0.34998626667073579"/>
      <name val="Calibri"/>
      <family val="2"/>
      <scheme val="minor"/>
    </font>
    <font>
      <i/>
      <sz val="8"/>
      <color theme="0" tint="-0.34998626667073579"/>
      <name val="Arial"/>
      <family val="2"/>
    </font>
    <font>
      <i/>
      <vertAlign val="subscript"/>
      <sz val="8"/>
      <color theme="0" tint="-0.34998626667073579"/>
      <name val="Arial"/>
      <family val="2"/>
    </font>
    <font>
      <b/>
      <sz val="9"/>
      <color rgb="FF000000"/>
      <name val="Arial Narrow"/>
      <family val="2"/>
    </font>
    <font>
      <b/>
      <sz val="9"/>
      <color rgb="FF000000"/>
      <name val="Calibri"/>
      <family val="2"/>
      <scheme val="minor"/>
    </font>
    <font>
      <b/>
      <sz val="6"/>
      <name val="Arial"/>
      <family val="2"/>
    </font>
    <font>
      <b/>
      <i/>
      <sz val="10"/>
      <color theme="3" tint="0.39997558519241921"/>
      <name val="Arial"/>
      <family val="2"/>
    </font>
    <font>
      <b/>
      <i/>
      <sz val="10"/>
      <color theme="0" tint="-0.249977111117893"/>
      <name val="Arial"/>
      <family val="2"/>
    </font>
    <font>
      <b/>
      <i/>
      <sz val="9"/>
      <color theme="3" tint="0.39997558519241921"/>
      <name val="Arial"/>
      <family val="2"/>
    </font>
    <font>
      <b/>
      <i/>
      <sz val="9"/>
      <color theme="0" tint="-0.249977111117893"/>
      <name val="Arial"/>
      <family val="2"/>
    </font>
    <font>
      <i/>
      <sz val="8"/>
      <name val="Symbol"/>
      <family val="1"/>
      <charset val="2"/>
    </font>
    <font>
      <i/>
      <sz val="8"/>
      <name val="Calibri"/>
      <family val="2"/>
      <scheme val="minor"/>
    </font>
    <font>
      <b/>
      <sz val="8"/>
      <color rgb="FFCC00FF"/>
      <name val="Calibri"/>
      <family val="2"/>
      <scheme val="minor"/>
    </font>
    <font>
      <b/>
      <sz val="8"/>
      <color rgb="FFCC00FF"/>
      <name val="Arial"/>
      <family val="2"/>
    </font>
    <font>
      <sz val="7"/>
      <color rgb="FFCC00FF"/>
      <name val="Arial"/>
      <family val="2"/>
    </font>
    <font>
      <sz val="11"/>
      <color rgb="FFCC00FF"/>
      <name val="Arial"/>
      <family val="2"/>
    </font>
    <font>
      <sz val="8"/>
      <color rgb="FFCC00FF"/>
      <name val="Calibri"/>
      <family val="2"/>
      <scheme val="minor"/>
    </font>
    <font>
      <u/>
      <sz val="8"/>
      <color rgb="FFCC00FF"/>
      <name val="Calibri"/>
      <family val="2"/>
      <scheme val="minor"/>
    </font>
    <font>
      <b/>
      <i/>
      <vertAlign val="superscript"/>
      <sz val="9"/>
      <name val="Arial"/>
      <family val="2"/>
    </font>
    <font>
      <vertAlign val="subscript"/>
      <sz val="10"/>
      <name val="Arial"/>
      <family val="2"/>
    </font>
    <font>
      <sz val="11"/>
      <name val="Symbol"/>
      <family val="1"/>
      <charset val="2"/>
    </font>
    <font>
      <i/>
      <sz val="7"/>
      <color theme="5" tint="0.59999389629810485"/>
      <name val="Calibri"/>
      <family val="2"/>
      <scheme val="minor"/>
    </font>
    <font>
      <b/>
      <sz val="6"/>
      <color rgb="FFFF0000"/>
      <name val="Arial"/>
      <family val="2"/>
    </font>
    <font>
      <b/>
      <sz val="16"/>
      <name val="Arial Black"/>
      <family val="2"/>
    </font>
  </fonts>
  <fills count="2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7FFFF"/>
        <bgColor indexed="64"/>
      </patternFill>
    </fill>
    <fill>
      <patternFill patternType="solid">
        <fgColor rgb="FFFFE7FF"/>
        <bgColor indexed="64"/>
      </patternFill>
    </fill>
    <fill>
      <patternFill patternType="solid">
        <fgColor rgb="FFEBFFFF"/>
        <bgColor indexed="64"/>
      </patternFill>
    </fill>
    <fill>
      <patternFill patternType="solid">
        <fgColor rgb="FFDDFF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E1"/>
        <bgColor indexed="64"/>
      </patternFill>
    </fill>
    <fill>
      <patternFill patternType="solid">
        <fgColor rgb="FFFFF5EB"/>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EFFFFF"/>
        <bgColor indexed="64"/>
      </patternFill>
    </fill>
    <fill>
      <patternFill patternType="solid">
        <fgColor rgb="FFFFFFF3"/>
        <bgColor indexed="64"/>
      </patternFill>
    </fill>
    <fill>
      <patternFill patternType="solid">
        <fgColor theme="3" tint="0.59999389629810485"/>
        <bgColor indexed="64"/>
      </patternFill>
    </fill>
    <fill>
      <patternFill patternType="solid">
        <fgColor rgb="FFFFFFC1"/>
        <bgColor indexed="64"/>
      </patternFill>
    </fill>
    <fill>
      <patternFill patternType="solid">
        <fgColor rgb="FFFFFFEF"/>
        <bgColor indexed="64"/>
      </patternFill>
    </fill>
    <fill>
      <patternFill patternType="solid">
        <fgColor rgb="FFEBF5FF"/>
        <bgColor indexed="64"/>
      </patternFill>
    </fill>
    <fill>
      <patternFill patternType="solid">
        <fgColor rgb="FFFFFFFF"/>
        <bgColor indexed="64"/>
      </patternFill>
    </fill>
    <fill>
      <patternFill patternType="solid">
        <fgColor rgb="FFCCECFF"/>
        <bgColor indexed="64"/>
      </patternFill>
    </fill>
    <fill>
      <patternFill patternType="solid">
        <fgColor rgb="FFFEF4E9"/>
        <bgColor indexed="64"/>
      </patternFill>
    </fill>
    <fill>
      <patternFill patternType="solid">
        <fgColor rgb="FFE5FFFF"/>
        <bgColor indexed="64"/>
      </patternFill>
    </fill>
    <fill>
      <patternFill patternType="solid">
        <fgColor rgb="FFC5FFFF"/>
        <bgColor indexed="64"/>
      </patternFill>
    </fill>
  </fills>
  <borders count="20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hair">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hair">
        <color indexed="64"/>
      </left>
      <right style="medium">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double">
        <color indexed="64"/>
      </bottom>
      <diagonal/>
    </border>
    <border>
      <left style="hair">
        <color indexed="64"/>
      </left>
      <right style="thin">
        <color indexed="64"/>
      </right>
      <top/>
      <bottom style="thin">
        <color indexed="64"/>
      </bottom>
      <diagonal/>
    </border>
    <border>
      <left/>
      <right/>
      <top style="hair">
        <color indexed="64"/>
      </top>
      <bottom/>
      <diagonal/>
    </border>
    <border diagonalDown="1">
      <left style="medium">
        <color indexed="64"/>
      </left>
      <right/>
      <top/>
      <bottom/>
      <diagonal style="hair">
        <color indexed="64"/>
      </diagonal>
    </border>
    <border diagonalDown="1">
      <left/>
      <right/>
      <top/>
      <bottom/>
      <diagonal style="hair">
        <color indexed="64"/>
      </diagonal>
    </border>
    <border diagonalDown="1">
      <left style="thin">
        <color indexed="64"/>
      </left>
      <right style="thin">
        <color indexed="64"/>
      </right>
      <top/>
      <bottom/>
      <diagonal style="hair">
        <color indexed="64"/>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double">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right style="thin">
        <color indexed="64"/>
      </right>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hair">
        <color indexed="64"/>
      </top>
      <bottom style="double">
        <color indexed="64"/>
      </bottom>
      <diagonal/>
    </border>
    <border>
      <left/>
      <right style="hair">
        <color indexed="64"/>
      </right>
      <top style="medium">
        <color indexed="64"/>
      </top>
      <bottom style="hair">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hair">
        <color indexed="64"/>
      </right>
      <top style="double">
        <color indexed="64"/>
      </top>
      <bottom/>
      <diagonal/>
    </border>
    <border diagonalUp="1">
      <left style="medium">
        <color indexed="64"/>
      </left>
      <right style="thin">
        <color indexed="64"/>
      </right>
      <top/>
      <bottom/>
      <diagonal style="thin">
        <color indexed="64"/>
      </diagonal>
    </border>
    <border>
      <left style="hair">
        <color indexed="64"/>
      </left>
      <right/>
      <top style="double">
        <color indexed="64"/>
      </top>
      <bottom/>
      <diagonal/>
    </border>
    <border>
      <left/>
      <right style="medium">
        <color indexed="64"/>
      </right>
      <top style="double">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3042">
    <xf numFmtId="0" fontId="0" fillId="0" borderId="0" xfId="0"/>
    <xf numFmtId="0" fontId="1" fillId="0" borderId="0" xfId="0" applyFont="1"/>
    <xf numFmtId="0" fontId="0" fillId="0" borderId="0" xfId="0"/>
    <xf numFmtId="0" fontId="67" fillId="0" borderId="0" xfId="0" applyFont="1" applyFill="1" applyBorder="1" applyAlignment="1" applyProtection="1">
      <alignment horizontal="center" vertical="center"/>
    </xf>
    <xf numFmtId="0" fontId="67" fillId="0" borderId="0" xfId="0" applyFont="1" applyFill="1" applyAlignment="1" applyProtection="1">
      <alignment vertical="center"/>
    </xf>
    <xf numFmtId="0" fontId="16" fillId="0" borderId="0" xfId="0" applyFont="1" applyFill="1" applyBorder="1" applyAlignment="1" applyProtection="1">
      <alignment horizontal="right" vertical="center"/>
    </xf>
    <xf numFmtId="0" fontId="97" fillId="0" borderId="0" xfId="0" applyFont="1" applyFill="1" applyBorder="1" applyAlignment="1" applyProtection="1">
      <alignment horizontal="center" vertical="center"/>
    </xf>
    <xf numFmtId="0" fontId="86" fillId="0" borderId="0" xfId="0" applyFont="1" applyFill="1" applyAlignment="1" applyProtection="1">
      <alignment vertical="center"/>
    </xf>
    <xf numFmtId="0" fontId="67"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77"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top"/>
    </xf>
    <xf numFmtId="0" fontId="14" fillId="0" borderId="0" xfId="0" applyFont="1" applyFill="1" applyBorder="1" applyAlignment="1" applyProtection="1">
      <alignment horizontal="center" vertical="center"/>
    </xf>
    <xf numFmtId="0" fontId="0" fillId="0" borderId="0" xfId="0" applyFill="1" applyBorder="1" applyProtection="1"/>
    <xf numFmtId="0" fontId="9" fillId="0" borderId="0" xfId="0" applyFont="1" applyFill="1" applyBorder="1" applyAlignment="1" applyProtection="1">
      <alignment vertical="center"/>
    </xf>
    <xf numFmtId="0" fontId="70" fillId="0" borderId="0" xfId="0" applyFont="1" applyBorder="1" applyAlignment="1" applyProtection="1">
      <alignment horizontal="left" vertical="center"/>
    </xf>
    <xf numFmtId="0" fontId="67" fillId="0" borderId="45" xfId="0" applyFont="1" applyFill="1" applyBorder="1" applyAlignment="1" applyProtection="1">
      <alignment vertical="center"/>
    </xf>
    <xf numFmtId="0" fontId="110" fillId="0" borderId="0" xfId="0" applyFont="1" applyFill="1" applyBorder="1" applyAlignment="1" applyProtection="1">
      <alignment vertical="center"/>
    </xf>
    <xf numFmtId="0" fontId="77" fillId="0" borderId="1" xfId="0" applyFont="1" applyFill="1" applyBorder="1" applyAlignment="1" applyProtection="1">
      <alignment horizontal="center" vertical="center"/>
    </xf>
    <xf numFmtId="0" fontId="77" fillId="0" borderId="1"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xf>
    <xf numFmtId="0" fontId="67" fillId="0" borderId="28" xfId="0" applyFont="1" applyFill="1" applyBorder="1" applyAlignment="1" applyProtection="1">
      <alignment vertical="center"/>
    </xf>
    <xf numFmtId="0" fontId="78" fillId="0" borderId="51" xfId="0" applyFont="1" applyFill="1" applyBorder="1" applyAlignment="1" applyProtection="1">
      <alignment horizontal="center" vertical="center"/>
    </xf>
    <xf numFmtId="0" fontId="0" fillId="0" borderId="0" xfId="0" applyFill="1" applyBorder="1" applyAlignment="1" applyProtection="1">
      <alignment vertical="center"/>
    </xf>
    <xf numFmtId="0" fontId="82" fillId="0" borderId="0" xfId="0" applyFont="1" applyFill="1" applyBorder="1" applyAlignment="1" applyProtection="1">
      <alignment horizontal="left" vertical="center"/>
    </xf>
    <xf numFmtId="0" fontId="9" fillId="0" borderId="0" xfId="0" applyFont="1" applyBorder="1" applyAlignment="1" applyProtection="1">
      <alignment vertical="center"/>
    </xf>
    <xf numFmtId="0" fontId="0" fillId="0" borderId="0" xfId="0" applyBorder="1" applyAlignment="1" applyProtection="1">
      <alignment vertical="center"/>
    </xf>
    <xf numFmtId="0" fontId="38" fillId="0" borderId="0" xfId="0" applyFont="1" applyFill="1" applyBorder="1" applyAlignment="1" applyProtection="1">
      <alignment horizontal="center"/>
    </xf>
    <xf numFmtId="0" fontId="82" fillId="0" borderId="0" xfId="0" applyFont="1" applyFill="1" applyBorder="1" applyAlignment="1" applyProtection="1">
      <alignment horizontal="right" vertical="center"/>
    </xf>
    <xf numFmtId="0" fontId="32" fillId="0" borderId="24" xfId="0" applyFont="1" applyFill="1" applyBorder="1" applyAlignment="1" applyProtection="1">
      <alignment vertical="center"/>
    </xf>
    <xf numFmtId="0" fontId="91" fillId="0" borderId="0" xfId="0" applyFont="1" applyFill="1" applyBorder="1" applyAlignment="1" applyProtection="1">
      <alignment horizontal="right" vertical="top"/>
    </xf>
    <xf numFmtId="0" fontId="32" fillId="0" borderId="0" xfId="0" applyFont="1" applyFill="1" applyAlignment="1" applyProtection="1">
      <alignment vertical="center"/>
    </xf>
    <xf numFmtId="0" fontId="108" fillId="0" borderId="0" xfId="0" applyFont="1" applyAlignment="1" applyProtection="1">
      <alignment horizontal="center"/>
    </xf>
    <xf numFmtId="0" fontId="32" fillId="0" borderId="0" xfId="0" applyFont="1" applyFill="1" applyBorder="1" applyAlignment="1" applyProtection="1">
      <alignment vertical="center"/>
    </xf>
    <xf numFmtId="0" fontId="67" fillId="0" borderId="93" xfId="0" applyFont="1" applyFill="1" applyBorder="1" applyAlignment="1" applyProtection="1">
      <alignment vertical="center"/>
    </xf>
    <xf numFmtId="0" fontId="67" fillId="0" borderId="23" xfId="0" applyFont="1" applyFill="1" applyBorder="1" applyAlignment="1" applyProtection="1">
      <alignment vertical="center"/>
    </xf>
    <xf numFmtId="0" fontId="9" fillId="0" borderId="89"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0" fillId="0" borderId="0" xfId="0" applyFont="1" applyFill="1" applyAlignment="1" applyProtection="1">
      <alignment horizontal="left" vertical="center"/>
    </xf>
    <xf numFmtId="0" fontId="16" fillId="0" borderId="3" xfId="0" applyFont="1" applyFill="1" applyBorder="1" applyAlignment="1" applyProtection="1">
      <alignment vertical="center"/>
    </xf>
    <xf numFmtId="0" fontId="9" fillId="0" borderId="0" xfId="0" applyFont="1" applyFill="1" applyBorder="1" applyAlignment="1" applyProtection="1">
      <alignment vertical="center" wrapText="1"/>
    </xf>
    <xf numFmtId="0" fontId="67" fillId="13" borderId="0" xfId="0" applyFont="1" applyFill="1" applyAlignment="1" applyProtection="1">
      <alignment vertical="center"/>
    </xf>
    <xf numFmtId="0" fontId="45" fillId="0" borderId="0" xfId="0" applyFont="1" applyFill="1" applyAlignment="1" applyProtection="1">
      <alignment vertical="center"/>
    </xf>
    <xf numFmtId="0" fontId="5" fillId="0" borderId="0" xfId="0" applyFont="1" applyFill="1" applyAlignment="1" applyProtection="1">
      <alignment vertical="center"/>
    </xf>
    <xf numFmtId="0" fontId="45" fillId="0" borderId="0" xfId="0" applyFont="1" applyFill="1" applyAlignment="1" applyProtection="1">
      <alignment horizontal="right" vertical="center"/>
    </xf>
    <xf numFmtId="0" fontId="67" fillId="13" borderId="24" xfId="0" applyFont="1" applyFill="1" applyBorder="1" applyAlignment="1" applyProtection="1">
      <alignment vertical="center"/>
    </xf>
    <xf numFmtId="0" fontId="40" fillId="0" borderId="0" xfId="0" applyFont="1" applyFill="1" applyAlignment="1" applyProtection="1">
      <alignment horizontal="righ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69" fillId="0" borderId="0" xfId="0" applyFont="1" applyFill="1" applyBorder="1" applyAlignment="1" applyProtection="1">
      <alignment horizontal="center" vertical="center"/>
    </xf>
    <xf numFmtId="0" fontId="46" fillId="0" borderId="0" xfId="0" applyFont="1" applyFill="1" applyAlignment="1" applyProtection="1">
      <alignment vertical="center"/>
    </xf>
    <xf numFmtId="0" fontId="0" fillId="0" borderId="0" xfId="0" applyAlignment="1" applyProtection="1">
      <alignment vertical="center"/>
    </xf>
    <xf numFmtId="0" fontId="1" fillId="0" borderId="0" xfId="0" applyFont="1" applyAlignment="1" applyProtection="1">
      <alignment vertical="center"/>
    </xf>
    <xf numFmtId="0" fontId="3" fillId="0" borderId="5" xfId="0" applyFont="1" applyBorder="1" applyAlignment="1" applyProtection="1">
      <alignment vertical="center"/>
    </xf>
    <xf numFmtId="0" fontId="3" fillId="0" borderId="5" xfId="0" applyFont="1" applyBorder="1" applyAlignment="1" applyProtection="1">
      <alignment horizontal="center" vertical="center"/>
    </xf>
    <xf numFmtId="0" fontId="9" fillId="0" borderId="5"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textRotation="90"/>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Alignment="1" applyProtection="1">
      <alignment horizontal="right" vertical="center"/>
    </xf>
    <xf numFmtId="0" fontId="11" fillId="0" borderId="0" xfId="0" applyFont="1" applyAlignment="1" applyProtection="1">
      <alignment horizontal="center" vertical="center"/>
    </xf>
    <xf numFmtId="0" fontId="28" fillId="0" borderId="0" xfId="0" applyFont="1" applyFill="1" applyBorder="1" applyAlignment="1" applyProtection="1">
      <alignment horizontal="center" vertical="center"/>
    </xf>
    <xf numFmtId="0" fontId="16" fillId="0" borderId="0" xfId="0" applyFont="1" applyFill="1" applyAlignment="1" applyProtection="1">
      <alignment vertical="center"/>
    </xf>
    <xf numFmtId="0" fontId="11" fillId="0" borderId="0" xfId="0" applyFont="1" applyBorder="1" applyAlignment="1" applyProtection="1">
      <alignment horizontal="left"/>
    </xf>
    <xf numFmtId="0" fontId="46" fillId="0" borderId="0" xfId="0" applyFont="1" applyBorder="1" applyAlignment="1" applyProtection="1">
      <alignment vertical="center"/>
    </xf>
    <xf numFmtId="0" fontId="46"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11" fillId="0" borderId="0" xfId="0" applyFont="1" applyBorder="1" applyProtection="1"/>
    <xf numFmtId="0" fontId="1" fillId="0" borderId="0" xfId="0" applyFont="1" applyBorder="1" applyAlignment="1" applyProtection="1">
      <alignment horizontal="center" vertical="center"/>
    </xf>
    <xf numFmtId="0" fontId="0" fillId="0" borderId="0" xfId="0" applyFill="1" applyAlignment="1" applyProtection="1">
      <alignment vertical="center"/>
    </xf>
    <xf numFmtId="0" fontId="3" fillId="0" borderId="0" xfId="0" applyFont="1" applyFill="1" applyAlignment="1" applyProtection="1">
      <alignment textRotation="90"/>
    </xf>
    <xf numFmtId="0" fontId="36" fillId="0" borderId="0" xfId="0" applyFont="1" applyAlignment="1" applyProtection="1">
      <alignment vertical="center"/>
    </xf>
    <xf numFmtId="0" fontId="85" fillId="0" borderId="0" xfId="0" applyFont="1" applyAlignment="1" applyProtection="1">
      <alignment vertical="center"/>
    </xf>
    <xf numFmtId="0" fontId="0" fillId="0" borderId="56" xfId="0" applyBorder="1" applyAlignment="1" applyProtection="1">
      <alignment horizontal="center" vertical="center"/>
    </xf>
    <xf numFmtId="0" fontId="0" fillId="0" borderId="56" xfId="0" applyBorder="1" applyAlignment="1" applyProtection="1">
      <alignment vertical="center"/>
    </xf>
    <xf numFmtId="0" fontId="2" fillId="0" borderId="56" xfId="0" applyFont="1" applyFill="1" applyBorder="1" applyAlignment="1" applyProtection="1">
      <alignment horizontal="center" vertical="center" wrapText="1"/>
    </xf>
    <xf numFmtId="0" fontId="136" fillId="0" borderId="0" xfId="0" applyFont="1" applyFill="1" applyAlignment="1" applyProtection="1">
      <alignment horizontal="left" vertical="center"/>
    </xf>
    <xf numFmtId="0" fontId="11" fillId="3" borderId="63" xfId="0" applyFont="1" applyFill="1" applyBorder="1" applyAlignment="1" applyProtection="1">
      <alignment horizontal="center" vertical="center"/>
    </xf>
    <xf numFmtId="0" fontId="2" fillId="4" borderId="61" xfId="0" applyFont="1" applyFill="1" applyBorder="1" applyAlignment="1" applyProtection="1">
      <alignment horizontal="center" vertical="center"/>
    </xf>
    <xf numFmtId="0" fontId="0" fillId="0" borderId="64" xfId="0" applyBorder="1" applyAlignment="1" applyProtection="1">
      <alignment horizontal="center" vertical="center"/>
    </xf>
    <xf numFmtId="0" fontId="9" fillId="0" borderId="21" xfId="0" applyFont="1" applyFill="1" applyBorder="1" applyAlignment="1" applyProtection="1">
      <alignment horizontal="right" vertical="top" wrapText="1"/>
    </xf>
    <xf numFmtId="0" fontId="9" fillId="0" borderId="3" xfId="0" applyFont="1" applyFill="1" applyBorder="1" applyAlignment="1" applyProtection="1">
      <alignment horizontal="center" vertical="center" wrapText="1"/>
    </xf>
    <xf numFmtId="0" fontId="9" fillId="0" borderId="76"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6" fillId="0" borderId="10" xfId="0" applyFont="1" applyFill="1" applyBorder="1" applyAlignment="1" applyProtection="1">
      <alignment horizontal="right" vertical="center" wrapText="1"/>
    </xf>
    <xf numFmtId="0" fontId="16" fillId="0" borderId="5" xfId="0" applyFont="1" applyFill="1" applyBorder="1" applyAlignment="1" applyProtection="1">
      <alignment horizontal="center" vertical="center" wrapText="1"/>
    </xf>
    <xf numFmtId="0" fontId="9" fillId="0" borderId="77" xfId="0" applyFont="1" applyFill="1" applyBorder="1" applyAlignment="1" applyProtection="1">
      <alignment horizontal="center" vertical="center" wrapText="1"/>
    </xf>
    <xf numFmtId="0" fontId="64" fillId="0" borderId="64" xfId="1" applyFont="1" applyBorder="1" applyAlignment="1" applyProtection="1">
      <alignment horizontal="center" vertical="center"/>
    </xf>
    <xf numFmtId="0" fontId="16" fillId="0" borderId="114" xfId="0" applyFont="1" applyFill="1" applyBorder="1" applyAlignment="1" applyProtection="1">
      <alignment horizontal="center" vertical="center" wrapText="1"/>
    </xf>
    <xf numFmtId="0" fontId="9" fillId="0" borderId="132" xfId="0" applyFont="1" applyFill="1" applyBorder="1" applyAlignment="1" applyProtection="1">
      <alignment horizontal="center" vertical="center" wrapText="1"/>
    </xf>
    <xf numFmtId="0" fontId="0" fillId="0" borderId="65" xfId="0" applyBorder="1" applyAlignment="1" applyProtection="1">
      <alignment horizontal="center" vertical="center"/>
    </xf>
    <xf numFmtId="0" fontId="16" fillId="0" borderId="52" xfId="0" applyFont="1" applyFill="1" applyBorder="1" applyAlignment="1" applyProtection="1">
      <alignment vertical="center" wrapText="1"/>
    </xf>
    <xf numFmtId="0" fontId="16" fillId="0" borderId="38" xfId="0" applyFont="1" applyFill="1" applyBorder="1" applyAlignment="1" applyProtection="1">
      <alignment horizontal="right" vertical="center" wrapText="1"/>
    </xf>
    <xf numFmtId="0" fontId="16" fillId="0" borderId="66" xfId="0" applyFont="1" applyFill="1" applyBorder="1" applyAlignment="1" applyProtection="1">
      <alignment horizontal="center" vertical="center" wrapText="1"/>
    </xf>
    <xf numFmtId="0" fontId="9" fillId="0" borderId="78" xfId="0" applyFont="1" applyFill="1" applyBorder="1" applyAlignment="1" applyProtection="1">
      <alignment horizontal="center" vertical="center" wrapText="1"/>
    </xf>
    <xf numFmtId="0" fontId="2" fillId="6" borderId="103" xfId="0" applyFont="1" applyFill="1" applyBorder="1" applyAlignment="1" applyProtection="1">
      <alignment horizontal="center" vertical="center" wrapText="1"/>
    </xf>
    <xf numFmtId="0" fontId="16" fillId="6" borderId="103" xfId="0" applyFont="1" applyFill="1" applyBorder="1" applyAlignment="1" applyProtection="1">
      <alignment vertical="center" wrapText="1"/>
    </xf>
    <xf numFmtId="0" fontId="16" fillId="6" borderId="103" xfId="0" applyFont="1" applyFill="1" applyBorder="1" applyAlignment="1" applyProtection="1">
      <alignment horizontal="right" vertical="center" wrapText="1"/>
    </xf>
    <xf numFmtId="0" fontId="16" fillId="6" borderId="103" xfId="0" applyFont="1" applyFill="1" applyBorder="1" applyAlignment="1" applyProtection="1">
      <alignment horizontal="center" vertical="center" wrapText="1"/>
    </xf>
    <xf numFmtId="0" fontId="16" fillId="6" borderId="103" xfId="0" applyFont="1" applyFill="1" applyBorder="1" applyAlignment="1" applyProtection="1">
      <alignment horizontal="left" vertical="center" wrapText="1"/>
    </xf>
    <xf numFmtId="0" fontId="9" fillId="6" borderId="103" xfId="0" applyFont="1" applyFill="1" applyBorder="1" applyAlignment="1" applyProtection="1">
      <alignment horizontal="center" vertical="center" wrapText="1"/>
    </xf>
    <xf numFmtId="0" fontId="70" fillId="6" borderId="103" xfId="0" applyFont="1" applyFill="1" applyBorder="1" applyAlignment="1" applyProtection="1">
      <alignment horizontal="center" vertical="center" wrapText="1"/>
    </xf>
    <xf numFmtId="0" fontId="70" fillId="6" borderId="152" xfId="0" applyFont="1" applyFill="1" applyBorder="1" applyAlignment="1" applyProtection="1">
      <alignment horizontal="center" vertical="center" wrapText="1"/>
    </xf>
    <xf numFmtId="0" fontId="0" fillId="0" borderId="64" xfId="0" applyBorder="1" applyAlignment="1" applyProtection="1">
      <alignment vertical="center"/>
    </xf>
    <xf numFmtId="0" fontId="9" fillId="0" borderId="129" xfId="0" applyFont="1" applyBorder="1" applyAlignment="1" applyProtection="1">
      <alignment horizontal="left" vertical="center"/>
    </xf>
    <xf numFmtId="0" fontId="9" fillId="0" borderId="169" xfId="0" applyFont="1" applyBorder="1" applyAlignment="1" applyProtection="1">
      <alignment vertical="center"/>
    </xf>
    <xf numFmtId="0" fontId="0" fillId="0" borderId="0" xfId="0" applyAlignment="1" applyProtection="1">
      <alignment vertical="center" wrapText="1"/>
    </xf>
    <xf numFmtId="0" fontId="2" fillId="4" borderId="61" xfId="0" applyFont="1" applyFill="1" applyBorder="1" applyAlignment="1" applyProtection="1">
      <alignment horizontal="center"/>
    </xf>
    <xf numFmtId="0" fontId="2" fillId="4" borderId="24" xfId="0" applyFont="1" applyFill="1" applyBorder="1" applyAlignment="1" applyProtection="1">
      <alignment vertical="center" wrapText="1"/>
    </xf>
    <xf numFmtId="0" fontId="12" fillId="4" borderId="22" xfId="0" applyFont="1" applyFill="1" applyBorder="1" applyAlignment="1" applyProtection="1">
      <alignment horizontal="center" vertical="center" wrapText="1"/>
    </xf>
    <xf numFmtId="0" fontId="16" fillId="0" borderId="21" xfId="0" applyFont="1" applyFill="1" applyBorder="1" applyAlignment="1" applyProtection="1">
      <alignment horizontal="right" vertical="center" wrapText="1"/>
    </xf>
    <xf numFmtId="0" fontId="16" fillId="0" borderId="3" xfId="0" applyFont="1" applyFill="1" applyBorder="1" applyAlignment="1" applyProtection="1">
      <alignment horizontal="center" vertical="center" wrapText="1"/>
    </xf>
    <xf numFmtId="0" fontId="16" fillId="0" borderId="76"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6" fillId="0" borderId="6" xfId="0" applyFont="1" applyFill="1" applyBorder="1" applyAlignment="1" applyProtection="1">
      <alignment vertical="center" wrapText="1"/>
    </xf>
    <xf numFmtId="0" fontId="16" fillId="0" borderId="77" xfId="0" applyFont="1" applyFill="1" applyBorder="1" applyAlignment="1" applyProtection="1">
      <alignment horizontal="center" vertical="center" wrapText="1"/>
    </xf>
    <xf numFmtId="0" fontId="16" fillId="0" borderId="121" xfId="0" applyFont="1" applyFill="1" applyBorder="1" applyAlignment="1" applyProtection="1">
      <alignment vertical="center" wrapText="1"/>
    </xf>
    <xf numFmtId="0" fontId="16" fillId="0" borderId="25" xfId="0" applyFont="1" applyFill="1" applyBorder="1" applyAlignment="1" applyProtection="1">
      <alignment vertical="center" wrapText="1"/>
    </xf>
    <xf numFmtId="0" fontId="0" fillId="0" borderId="57" xfId="0" applyBorder="1" applyAlignment="1" applyProtection="1">
      <alignment horizontal="center" vertical="center"/>
    </xf>
    <xf numFmtId="0" fontId="3" fillId="0" borderId="0" xfId="0" applyFont="1" applyFill="1" applyBorder="1" applyAlignment="1" applyProtection="1">
      <alignment vertical="center" wrapText="1"/>
    </xf>
    <xf numFmtId="0" fontId="2" fillId="4" borderId="101" xfId="0" applyFont="1" applyFill="1" applyBorder="1" applyAlignment="1" applyProtection="1">
      <alignment horizontal="center" vertical="center"/>
    </xf>
    <xf numFmtId="0" fontId="14" fillId="4" borderId="105"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16" fillId="0" borderId="16" xfId="0" applyFont="1" applyFill="1" applyBorder="1" applyAlignment="1" applyProtection="1">
      <alignment horizontal="right" vertical="center" wrapText="1"/>
    </xf>
    <xf numFmtId="16" fontId="16" fillId="0" borderId="16" xfId="0" applyNumberFormat="1" applyFont="1" applyFill="1" applyBorder="1" applyAlignment="1" applyProtection="1">
      <alignment horizontal="center" vertical="center" wrapText="1"/>
    </xf>
    <xf numFmtId="0" fontId="16" fillId="0" borderId="84" xfId="0" applyFont="1" applyFill="1" applyBorder="1" applyAlignment="1" applyProtection="1">
      <alignment horizontal="center" vertical="center" wrapText="1"/>
    </xf>
    <xf numFmtId="167" fontId="0" fillId="0" borderId="0" xfId="0" applyNumberFormat="1" applyAlignment="1" applyProtection="1">
      <alignment vertical="center"/>
    </xf>
    <xf numFmtId="0" fontId="16" fillId="0" borderId="12" xfId="0" applyFont="1" applyFill="1" applyBorder="1" applyAlignment="1" applyProtection="1">
      <alignment horizontal="right" vertical="center" wrapText="1"/>
    </xf>
    <xf numFmtId="0" fontId="16" fillId="0" borderId="42"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2" fillId="0" borderId="71" xfId="1" applyFont="1" applyBorder="1" applyAlignment="1" applyProtection="1">
      <alignment horizontal="center" vertical="center"/>
    </xf>
    <xf numFmtId="0" fontId="2" fillId="4" borderId="101" xfId="1" applyFont="1" applyFill="1" applyBorder="1" applyAlignment="1" applyProtection="1">
      <alignment horizontal="center" vertical="center"/>
    </xf>
    <xf numFmtId="0" fontId="14" fillId="4" borderId="103" xfId="0" applyFont="1" applyFill="1" applyBorder="1" applyAlignment="1" applyProtection="1">
      <alignment vertical="center"/>
    </xf>
    <xf numFmtId="0" fontId="52" fillId="4" borderId="156" xfId="0" applyFont="1" applyFill="1" applyBorder="1" applyAlignment="1" applyProtection="1">
      <alignment vertical="center" wrapText="1"/>
    </xf>
    <xf numFmtId="0" fontId="52" fillId="4" borderId="105" xfId="0" applyFont="1" applyFill="1" applyBorder="1" applyAlignment="1" applyProtection="1">
      <alignment vertical="center" wrapText="1"/>
    </xf>
    <xf numFmtId="0" fontId="42" fillId="0" borderId="86" xfId="1" applyFont="1" applyBorder="1" applyAlignment="1" applyProtection="1">
      <alignment horizontal="center" vertical="center"/>
    </xf>
    <xf numFmtId="0" fontId="52" fillId="0" borderId="0" xfId="0" applyFont="1" applyFill="1" applyBorder="1" applyAlignment="1" applyProtection="1">
      <alignment vertical="center"/>
    </xf>
    <xf numFmtId="0" fontId="52" fillId="0" borderId="0" xfId="0" applyFont="1" applyFill="1" applyBorder="1" applyAlignment="1" applyProtection="1">
      <alignment vertical="center" wrapText="1"/>
    </xf>
    <xf numFmtId="0" fontId="54" fillId="0" borderId="137" xfId="0" applyFont="1" applyFill="1" applyBorder="1" applyAlignment="1" applyProtection="1">
      <alignment horizontal="center" vertical="center" wrapText="1"/>
    </xf>
    <xf numFmtId="0" fontId="14" fillId="4" borderId="103" xfId="0" applyFont="1" applyFill="1" applyBorder="1" applyAlignment="1" applyProtection="1">
      <alignment vertical="center" wrapText="1"/>
    </xf>
    <xf numFmtId="0" fontId="19" fillId="4" borderId="103" xfId="0" applyFont="1" applyFill="1" applyBorder="1" applyAlignment="1" applyProtection="1">
      <alignment horizontal="center" vertical="center" wrapText="1"/>
    </xf>
    <xf numFmtId="0" fontId="0" fillId="0" borderId="57" xfId="0" applyBorder="1" applyAlignment="1" applyProtection="1">
      <alignment vertical="center"/>
    </xf>
    <xf numFmtId="0" fontId="9" fillId="0" borderId="0" xfId="0" applyFont="1" applyAlignment="1" applyProtection="1">
      <alignment vertical="center"/>
    </xf>
    <xf numFmtId="0" fontId="16" fillId="0" borderId="40" xfId="0" applyFont="1" applyFill="1" applyBorder="1" applyAlignment="1" applyProtection="1">
      <alignment vertical="center" wrapText="1"/>
    </xf>
    <xf numFmtId="0" fontId="16" fillId="0" borderId="3" xfId="0" applyFont="1" applyFill="1" applyBorder="1" applyAlignment="1" applyProtection="1">
      <alignment horizontal="right" vertical="center"/>
    </xf>
    <xf numFmtId="49" fontId="16" fillId="0" borderId="3" xfId="0" applyNumberFormat="1"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73" xfId="0" applyFont="1" applyFill="1" applyBorder="1" applyAlignment="1" applyProtection="1">
      <alignment vertical="center" wrapText="1"/>
    </xf>
    <xf numFmtId="0" fontId="16" fillId="0" borderId="10" xfId="0" applyFont="1" applyFill="1" applyBorder="1" applyAlignment="1" applyProtection="1">
      <alignment vertical="center" wrapText="1"/>
    </xf>
    <xf numFmtId="49" fontId="16" fillId="0" borderId="5" xfId="0" applyNumberFormat="1"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0" fillId="0" borderId="70" xfId="0" applyBorder="1" applyAlignment="1" applyProtection="1">
      <alignment vertical="center"/>
    </xf>
    <xf numFmtId="0" fontId="16" fillId="0" borderId="9" xfId="0" applyFont="1" applyFill="1" applyBorder="1" applyAlignment="1" applyProtection="1">
      <alignment horizontal="right" vertical="center" wrapText="1"/>
    </xf>
    <xf numFmtId="49" fontId="16" fillId="0" borderId="8" xfId="0" applyNumberFormat="1"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0" fillId="0" borderId="75" xfId="0" applyBorder="1" applyAlignment="1" applyProtection="1">
      <alignment horizontal="center" vertical="center"/>
    </xf>
    <xf numFmtId="49" fontId="3" fillId="0" borderId="0" xfId="0" applyNumberFormat="1" applyFont="1" applyFill="1" applyBorder="1" applyAlignment="1" applyProtection="1">
      <alignment vertical="center"/>
    </xf>
    <xf numFmtId="0" fontId="0" fillId="0" borderId="90" xfId="0" applyBorder="1" applyAlignment="1" applyProtection="1">
      <alignment horizontal="center" vertical="center"/>
    </xf>
    <xf numFmtId="0" fontId="48" fillId="0" borderId="0" xfId="0" applyFont="1" applyBorder="1" applyAlignment="1" applyProtection="1">
      <alignment vertical="center" wrapText="1"/>
    </xf>
    <xf numFmtId="0" fontId="48" fillId="4" borderId="8" xfId="0" applyFont="1" applyFill="1" applyBorder="1" applyAlignment="1" applyProtection="1">
      <alignment vertical="center" wrapText="1"/>
    </xf>
    <xf numFmtId="0" fontId="22" fillId="4" borderId="23" xfId="0" applyFont="1" applyFill="1" applyBorder="1" applyAlignment="1" applyProtection="1">
      <alignment horizontal="right" vertical="center"/>
    </xf>
    <xf numFmtId="0" fontId="9" fillId="0" borderId="76"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9" fillId="0" borderId="77" xfId="0" applyFont="1" applyBorder="1" applyAlignment="1" applyProtection="1">
      <alignment horizontal="center" vertical="center" wrapText="1"/>
    </xf>
    <xf numFmtId="0" fontId="9" fillId="0" borderId="78" xfId="0" applyFont="1" applyBorder="1" applyAlignment="1" applyProtection="1">
      <alignment horizontal="center" vertical="center" wrapText="1"/>
    </xf>
    <xf numFmtId="0" fontId="22" fillId="0" borderId="52" xfId="0" applyFont="1" applyBorder="1" applyAlignment="1" applyProtection="1">
      <alignment horizontal="center" vertical="center" wrapText="1"/>
    </xf>
    <xf numFmtId="0" fontId="2" fillId="4" borderId="103" xfId="0" applyFont="1" applyFill="1" applyBorder="1" applyAlignment="1" applyProtection="1">
      <alignment vertical="center" wrapText="1"/>
    </xf>
    <xf numFmtId="0" fontId="2" fillId="4" borderId="104" xfId="0" applyFont="1" applyFill="1" applyBorder="1" applyAlignment="1" applyProtection="1">
      <alignment horizontal="center" vertical="center" wrapText="1"/>
    </xf>
    <xf numFmtId="0" fontId="0" fillId="4" borderId="103" xfId="0" applyFill="1" applyBorder="1" applyAlignment="1" applyProtection="1">
      <alignment vertical="center"/>
    </xf>
    <xf numFmtId="0" fontId="0" fillId="0" borderId="79" xfId="0" applyBorder="1" applyAlignment="1" applyProtection="1">
      <alignment vertical="center"/>
    </xf>
    <xf numFmtId="0" fontId="16" fillId="0" borderId="3" xfId="0" applyFont="1" applyFill="1" applyBorder="1" applyAlignment="1" applyProtection="1">
      <alignment vertical="center" wrapText="1"/>
    </xf>
    <xf numFmtId="49" fontId="3" fillId="0" borderId="4" xfId="0" applyNumberFormat="1" applyFont="1" applyBorder="1" applyAlignment="1" applyProtection="1">
      <alignment horizontal="center" vertical="center"/>
    </xf>
    <xf numFmtId="0" fontId="16" fillId="0" borderId="19" xfId="0" applyFont="1" applyFill="1" applyBorder="1" applyAlignment="1" applyProtection="1">
      <alignment horizontal="center" vertical="center" wrapText="1"/>
    </xf>
    <xf numFmtId="0" fontId="9" fillId="0" borderId="16" xfId="0" applyNumberFormat="1" applyFont="1" applyBorder="1" applyAlignment="1" applyProtection="1">
      <alignment horizontal="left" vertical="center"/>
    </xf>
    <xf numFmtId="49" fontId="9" fillId="0" borderId="6" xfId="0" applyNumberFormat="1" applyFont="1" applyBorder="1" applyAlignment="1" applyProtection="1">
      <alignment vertical="center"/>
    </xf>
    <xf numFmtId="0" fontId="9" fillId="0" borderId="16" xfId="0" applyFont="1" applyBorder="1" applyAlignment="1" applyProtection="1">
      <alignment vertical="center"/>
    </xf>
    <xf numFmtId="49" fontId="9" fillId="0" borderId="16" xfId="0" applyNumberFormat="1" applyFont="1" applyBorder="1" applyAlignment="1" applyProtection="1">
      <alignment vertical="center"/>
    </xf>
    <xf numFmtId="0" fontId="9" fillId="0" borderId="18" xfId="0" applyFont="1" applyBorder="1" applyAlignment="1" applyProtection="1">
      <alignment vertical="center"/>
    </xf>
    <xf numFmtId="0" fontId="9" fillId="0" borderId="5" xfId="0" applyFont="1" applyFill="1" applyBorder="1" applyAlignment="1" applyProtection="1">
      <alignment vertical="center" wrapText="1"/>
    </xf>
    <xf numFmtId="49" fontId="3" fillId="0" borderId="13" xfId="0" applyNumberFormat="1" applyFont="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0" borderId="5" xfId="0" applyNumberFormat="1" applyFont="1" applyBorder="1" applyAlignment="1" applyProtection="1">
      <alignment horizontal="center" vertical="center"/>
    </xf>
    <xf numFmtId="0" fontId="9" fillId="0" borderId="12" xfId="0" applyNumberFormat="1" applyFont="1" applyBorder="1" applyAlignment="1" applyProtection="1">
      <alignment horizontal="left" vertical="center"/>
    </xf>
    <xf numFmtId="49" fontId="9" fillId="0" borderId="5" xfId="0" applyNumberFormat="1" applyFont="1" applyBorder="1" applyAlignment="1" applyProtection="1">
      <alignment vertical="center"/>
    </xf>
    <xf numFmtId="0" fontId="9" fillId="0" borderId="13" xfId="0" applyFont="1" applyBorder="1" applyAlignment="1" applyProtection="1">
      <alignment vertical="center"/>
    </xf>
    <xf numFmtId="49" fontId="9" fillId="0" borderId="13" xfId="0" applyNumberFormat="1" applyFont="1" applyBorder="1" applyAlignment="1" applyProtection="1">
      <alignment vertical="center"/>
    </xf>
    <xf numFmtId="0" fontId="3" fillId="0" borderId="13" xfId="0" applyFont="1" applyFill="1" applyBorder="1" applyAlignment="1" applyProtection="1">
      <alignment horizontal="center" vertical="center" wrapText="1"/>
    </xf>
    <xf numFmtId="0" fontId="9" fillId="0" borderId="81" xfId="0" applyNumberFormat="1" applyFont="1" applyBorder="1" applyAlignment="1" applyProtection="1">
      <alignment horizontal="center" vertical="center"/>
    </xf>
    <xf numFmtId="0" fontId="9" fillId="0" borderId="83" xfId="0" applyNumberFormat="1" applyFont="1" applyBorder="1" applyAlignment="1" applyProtection="1">
      <alignment horizontal="left" vertical="center"/>
    </xf>
    <xf numFmtId="0" fontId="9" fillId="0" borderId="81" xfId="0" applyFont="1" applyBorder="1" applyAlignment="1" applyProtection="1">
      <alignment vertical="center"/>
    </xf>
    <xf numFmtId="49" fontId="9" fillId="0" borderId="81" xfId="0" applyNumberFormat="1" applyFont="1" applyBorder="1" applyAlignment="1" applyProtection="1">
      <alignment vertical="center"/>
    </xf>
    <xf numFmtId="49" fontId="9" fillId="0" borderId="82" xfId="0" applyNumberFormat="1" applyFont="1" applyBorder="1" applyAlignment="1" applyProtection="1">
      <alignment vertical="center"/>
    </xf>
    <xf numFmtId="0" fontId="16" fillId="0" borderId="81" xfId="0" applyFont="1" applyFill="1" applyBorder="1" applyAlignment="1" applyProtection="1">
      <alignment vertical="center" wrapText="1"/>
    </xf>
    <xf numFmtId="0" fontId="16" fillId="0" borderId="82" xfId="0" applyFont="1" applyFill="1" applyBorder="1" applyAlignment="1" applyProtection="1">
      <alignment vertical="center" wrapText="1"/>
    </xf>
    <xf numFmtId="0" fontId="16" fillId="0" borderId="83" xfId="0" applyFont="1" applyFill="1" applyBorder="1" applyAlignment="1" applyProtection="1">
      <alignment horizontal="center" vertical="center" wrapText="1"/>
    </xf>
    <xf numFmtId="0" fontId="2" fillId="4" borderId="105" xfId="0" applyFont="1" applyFill="1" applyBorder="1" applyAlignment="1" applyProtection="1">
      <alignment vertical="center" wrapText="1"/>
    </xf>
    <xf numFmtId="0" fontId="0" fillId="0" borderId="59" xfId="0" applyBorder="1" applyAlignment="1" applyProtection="1">
      <alignment vertical="center"/>
    </xf>
    <xf numFmtId="0" fontId="9" fillId="0" borderId="3"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6" xfId="0" applyFont="1" applyFill="1" applyBorder="1" applyAlignment="1" applyProtection="1">
      <alignment horizontal="center" vertical="center" wrapText="1"/>
    </xf>
    <xf numFmtId="0" fontId="0" fillId="0" borderId="60" xfId="0" applyBorder="1" applyAlignment="1" applyProtection="1">
      <alignment vertical="center"/>
    </xf>
    <xf numFmtId="0" fontId="9" fillId="0" borderId="13" xfId="0" applyFont="1" applyFill="1" applyBorder="1" applyAlignment="1" applyProtection="1">
      <alignment vertical="center" wrapText="1"/>
    </xf>
    <xf numFmtId="0" fontId="9" fillId="0" borderId="16" xfId="0" applyFont="1" applyBorder="1" applyAlignment="1" applyProtection="1">
      <alignment horizontal="right" vertical="center"/>
    </xf>
    <xf numFmtId="0" fontId="72" fillId="0" borderId="5" xfId="0" applyFont="1" applyBorder="1" applyAlignment="1" applyProtection="1">
      <alignment horizontal="center" vertical="center"/>
    </xf>
    <xf numFmtId="0" fontId="9" fillId="0" borderId="54" xfId="0" applyFont="1" applyBorder="1" applyAlignment="1" applyProtection="1">
      <alignment vertical="center"/>
    </xf>
    <xf numFmtId="0" fontId="72" fillId="0" borderId="5" xfId="0" applyFont="1" applyBorder="1" applyAlignment="1" applyProtection="1">
      <alignment horizontal="right" vertical="center"/>
    </xf>
    <xf numFmtId="0" fontId="0" fillId="0" borderId="115" xfId="0" applyBorder="1" applyAlignment="1" applyProtection="1">
      <alignment vertical="center"/>
    </xf>
    <xf numFmtId="0" fontId="9" fillId="0" borderId="66" xfId="0" applyFont="1" applyFill="1" applyBorder="1" applyAlignment="1" applyProtection="1">
      <alignment vertical="center" wrapText="1"/>
    </xf>
    <xf numFmtId="0" fontId="9" fillId="0" borderId="67" xfId="0" applyFont="1" applyFill="1" applyBorder="1" applyAlignment="1" applyProtection="1">
      <alignment vertical="center" wrapText="1"/>
    </xf>
    <xf numFmtId="0" fontId="9" fillId="0" borderId="67"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9" fillId="0" borderId="0" xfId="0" applyNumberFormat="1" applyFont="1" applyBorder="1" applyAlignment="1" applyProtection="1">
      <alignment horizontal="center" vertical="center" wrapText="1"/>
    </xf>
    <xf numFmtId="0" fontId="0" fillId="0" borderId="0" xfId="0" applyNumberFormat="1" applyAlignment="1" applyProtection="1">
      <alignment vertical="center"/>
    </xf>
    <xf numFmtId="0" fontId="0" fillId="0" borderId="116" xfId="0" applyBorder="1" applyAlignment="1" applyProtection="1">
      <alignment vertical="center"/>
    </xf>
    <xf numFmtId="0" fontId="72" fillId="0" borderId="8" xfId="0" applyFont="1" applyBorder="1" applyAlignment="1" applyProtection="1">
      <alignment horizontal="right" vertical="center"/>
    </xf>
    <xf numFmtId="0" fontId="72" fillId="0" borderId="23" xfId="0" applyFont="1" applyBorder="1" applyAlignment="1" applyProtection="1">
      <alignment horizontal="left" vertical="center"/>
    </xf>
    <xf numFmtId="0" fontId="0" fillId="0" borderId="0" xfId="0" applyProtection="1"/>
    <xf numFmtId="0" fontId="0" fillId="0" borderId="0" xfId="0" applyBorder="1" applyProtection="1"/>
    <xf numFmtId="0" fontId="16" fillId="0" borderId="73" xfId="0" applyFont="1" applyFill="1" applyBorder="1" applyAlignment="1" applyProtection="1">
      <alignment horizontal="center" vertical="center" wrapText="1"/>
    </xf>
    <xf numFmtId="0" fontId="16" fillId="0" borderId="28" xfId="0" applyFont="1" applyFill="1" applyBorder="1" applyAlignment="1" applyProtection="1">
      <alignment vertical="center" wrapText="1"/>
    </xf>
    <xf numFmtId="0" fontId="16" fillId="0" borderId="51" xfId="0" applyFont="1" applyFill="1" applyBorder="1" applyAlignment="1" applyProtection="1">
      <alignment horizontal="center" vertical="center" wrapText="1"/>
    </xf>
    <xf numFmtId="0" fontId="16" fillId="0" borderId="23" xfId="0" applyFont="1" applyFill="1" applyBorder="1" applyAlignment="1" applyProtection="1">
      <alignment vertical="center" wrapText="1"/>
    </xf>
    <xf numFmtId="0" fontId="16" fillId="0" borderId="85" xfId="0" applyFont="1" applyFill="1" applyBorder="1" applyAlignment="1" applyProtection="1">
      <alignment horizontal="center" vertical="center" wrapText="1"/>
    </xf>
    <xf numFmtId="0" fontId="0" fillId="0" borderId="71" xfId="0" applyBorder="1" applyAlignment="1" applyProtection="1">
      <alignment vertical="center"/>
    </xf>
    <xf numFmtId="0" fontId="52" fillId="0" borderId="72" xfId="0" applyFont="1" applyFill="1" applyBorder="1" applyAlignment="1" applyProtection="1">
      <alignment horizontal="left" vertical="center" wrapText="1"/>
    </xf>
    <xf numFmtId="0" fontId="12" fillId="0" borderId="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49" fontId="9" fillId="0" borderId="0" xfId="0" applyNumberFormat="1"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28" fillId="4" borderId="45" xfId="0" applyFont="1" applyFill="1" applyBorder="1" applyAlignment="1" applyProtection="1">
      <alignment horizontal="center" vertical="center" wrapText="1"/>
    </xf>
    <xf numFmtId="0" fontId="22" fillId="4" borderId="93" xfId="0" applyFont="1" applyFill="1" applyBorder="1" applyAlignment="1" applyProtection="1">
      <alignment horizontal="right" wrapText="1"/>
    </xf>
    <xf numFmtId="0" fontId="21" fillId="4" borderId="106" xfId="0" applyFont="1" applyFill="1" applyBorder="1" applyAlignment="1" applyProtection="1">
      <alignment wrapText="1"/>
    </xf>
    <xf numFmtId="49" fontId="39" fillId="0" borderId="0" xfId="0" applyNumberFormat="1" applyFont="1" applyFill="1" applyBorder="1" applyAlignment="1" applyProtection="1">
      <alignment horizontal="center" wrapText="1"/>
    </xf>
    <xf numFmtId="0" fontId="21" fillId="4" borderId="24" xfId="0" applyFont="1" applyFill="1" applyBorder="1" applyAlignment="1" applyProtection="1">
      <alignment wrapText="1"/>
    </xf>
    <xf numFmtId="0" fontId="47" fillId="4" borderId="74" xfId="0" applyNumberFormat="1" applyFont="1" applyFill="1" applyBorder="1" applyAlignment="1" applyProtection="1">
      <alignment horizontal="center" wrapText="1"/>
    </xf>
    <xf numFmtId="0" fontId="47" fillId="4" borderId="23" xfId="0" applyNumberFormat="1" applyFont="1" applyFill="1" applyBorder="1" applyAlignment="1" applyProtection="1">
      <alignment horizontal="center" wrapText="1"/>
    </xf>
    <xf numFmtId="0" fontId="47" fillId="4" borderId="55" xfId="0" applyNumberFormat="1" applyFont="1" applyFill="1" applyBorder="1" applyAlignment="1" applyProtection="1">
      <alignment horizontal="center" wrapText="1"/>
    </xf>
    <xf numFmtId="0" fontId="47" fillId="4" borderId="107" xfId="0" applyNumberFormat="1" applyFont="1" applyFill="1" applyBorder="1" applyAlignment="1" applyProtection="1">
      <alignment horizontal="center" wrapText="1"/>
    </xf>
    <xf numFmtId="0" fontId="0" fillId="0" borderId="18" xfId="0" applyBorder="1" applyAlignment="1" applyProtection="1">
      <alignment vertical="center"/>
    </xf>
    <xf numFmtId="0" fontId="137" fillId="0" borderId="0" xfId="0" applyFont="1" applyBorder="1" applyAlignment="1" applyProtection="1">
      <alignment horizontal="center" vertical="center"/>
    </xf>
    <xf numFmtId="49" fontId="9" fillId="2" borderId="0" xfId="0" applyNumberFormat="1" applyFont="1" applyFill="1" applyBorder="1" applyAlignment="1" applyProtection="1">
      <alignment horizontal="center"/>
    </xf>
    <xf numFmtId="0" fontId="9" fillId="0" borderId="11" xfId="0" applyFont="1" applyBorder="1" applyAlignment="1" applyProtection="1">
      <alignment horizontal="center" vertical="center" wrapText="1"/>
    </xf>
    <xf numFmtId="0" fontId="20" fillId="0" borderId="0" xfId="0" applyFont="1" applyBorder="1" applyAlignment="1" applyProtection="1">
      <alignment vertical="center" wrapText="1"/>
    </xf>
    <xf numFmtId="0" fontId="9" fillId="0" borderId="0" xfId="0" applyFont="1" applyBorder="1" applyAlignment="1" applyProtection="1">
      <alignment vertical="center" wrapText="1"/>
    </xf>
    <xf numFmtId="0" fontId="2" fillId="4" borderId="85" xfId="0" applyFont="1" applyFill="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4" fillId="4" borderId="104" xfId="0" applyFont="1" applyFill="1" applyBorder="1" applyAlignment="1" applyProtection="1">
      <alignment vertical="center"/>
    </xf>
    <xf numFmtId="0" fontId="14" fillId="4" borderId="85" xfId="0" applyFont="1" applyFill="1" applyBorder="1" applyAlignment="1" applyProtection="1">
      <alignment vertical="center" wrapText="1"/>
    </xf>
    <xf numFmtId="0" fontId="16" fillId="0" borderId="0" xfId="0" applyNumberFormat="1" applyFont="1" applyBorder="1" applyAlignment="1" applyProtection="1">
      <alignment horizontal="center" vertical="center"/>
    </xf>
    <xf numFmtId="0" fontId="16" fillId="0" borderId="110" xfId="0" applyFont="1" applyFill="1" applyBorder="1" applyAlignment="1" applyProtection="1">
      <alignment vertical="center" wrapText="1"/>
    </xf>
    <xf numFmtId="0" fontId="16" fillId="0" borderId="21"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3" fillId="0" borderId="4" xfId="0" applyFont="1" applyBorder="1" applyAlignment="1" applyProtection="1">
      <alignment vertical="center"/>
    </xf>
    <xf numFmtId="0" fontId="16" fillId="0" borderId="10"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0" borderId="13" xfId="0" applyFont="1" applyBorder="1" applyAlignment="1" applyProtection="1">
      <alignment vertical="center"/>
    </xf>
    <xf numFmtId="0" fontId="16" fillId="0" borderId="169" xfId="0" applyFont="1" applyFill="1" applyBorder="1" applyAlignment="1" applyProtection="1">
      <alignment vertical="center" wrapText="1"/>
    </xf>
    <xf numFmtId="0" fontId="16" fillId="0" borderId="38" xfId="0" applyFont="1" applyFill="1" applyBorder="1" applyAlignment="1" applyProtection="1">
      <alignment horizontal="left" vertical="center" wrapText="1"/>
    </xf>
    <xf numFmtId="0" fontId="16" fillId="0" borderId="66" xfId="0" applyFont="1" applyFill="1" applyBorder="1" applyAlignment="1" applyProtection="1">
      <alignment horizontal="left" vertical="center" wrapText="1"/>
    </xf>
    <xf numFmtId="0" fontId="3" fillId="0" borderId="67" xfId="0" applyFont="1" applyBorder="1" applyAlignment="1" applyProtection="1">
      <alignment vertical="center"/>
    </xf>
    <xf numFmtId="0" fontId="1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xf>
    <xf numFmtId="0" fontId="9" fillId="0" borderId="89" xfId="0" applyFont="1" applyFill="1" applyBorder="1" applyAlignment="1" applyProtection="1">
      <alignment horizontal="center" vertical="center" wrapText="1"/>
    </xf>
    <xf numFmtId="0" fontId="22" fillId="0" borderId="90" xfId="0" applyFont="1" applyBorder="1" applyAlignment="1" applyProtection="1">
      <alignment horizontal="left" vertical="top"/>
    </xf>
    <xf numFmtId="0" fontId="9" fillId="0" borderId="140" xfId="0" applyFont="1" applyBorder="1" applyAlignment="1" applyProtection="1">
      <alignment horizontal="right" vertical="center"/>
    </xf>
    <xf numFmtId="0" fontId="9" fillId="0" borderId="16" xfId="0" applyFont="1" applyFill="1" applyBorder="1" applyAlignment="1" applyProtection="1">
      <alignment vertical="center" wrapText="1"/>
    </xf>
    <xf numFmtId="0" fontId="9" fillId="0" borderId="12" xfId="0" applyFont="1" applyBorder="1" applyAlignment="1" applyProtection="1">
      <alignment horizontal="right" vertical="center"/>
    </xf>
    <xf numFmtId="0" fontId="9" fillId="0" borderId="54" xfId="0" applyFont="1" applyFill="1" applyBorder="1" applyAlignment="1" applyProtection="1">
      <alignment vertical="center" wrapText="1"/>
    </xf>
    <xf numFmtId="0" fontId="9" fillId="4" borderId="170"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22" fillId="0" borderId="75" xfId="0" applyFont="1" applyFill="1" applyBorder="1" applyAlignment="1" applyProtection="1">
      <alignment vertical="center" wrapText="1"/>
    </xf>
    <xf numFmtId="0" fontId="9" fillId="0" borderId="45" xfId="0" applyFont="1" applyFill="1" applyBorder="1" applyAlignment="1" applyProtection="1">
      <alignment horizontal="center" vertical="top"/>
    </xf>
    <xf numFmtId="0" fontId="0" fillId="0" borderId="24" xfId="0" applyBorder="1" applyAlignment="1" applyProtection="1">
      <alignment vertical="center"/>
    </xf>
    <xf numFmtId="0" fontId="9" fillId="0" borderId="24" xfId="0" applyFont="1" applyFill="1" applyBorder="1" applyAlignment="1" applyProtection="1">
      <alignment horizontal="center" wrapText="1"/>
    </xf>
    <xf numFmtId="0" fontId="0" fillId="0" borderId="24" xfId="0" applyFill="1" applyBorder="1" applyAlignment="1" applyProtection="1">
      <alignment vertical="center"/>
    </xf>
    <xf numFmtId="0" fontId="0" fillId="0" borderId="90" xfId="0" applyFill="1" applyBorder="1" applyAlignment="1" applyProtection="1">
      <alignment horizontal="center" vertical="center"/>
    </xf>
    <xf numFmtId="0" fontId="9" fillId="0" borderId="9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9" fillId="0" borderId="4" xfId="0" applyFont="1" applyFill="1" applyBorder="1" applyAlignment="1" applyProtection="1">
      <alignment horizontal="center" vertical="center" wrapText="1"/>
    </xf>
    <xf numFmtId="0" fontId="31" fillId="0" borderId="0" xfId="0" applyFont="1" applyFill="1" applyBorder="1" applyAlignment="1" applyProtection="1">
      <alignment horizontal="center"/>
    </xf>
    <xf numFmtId="0" fontId="9" fillId="0" borderId="13" xfId="0"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9" fillId="0" borderId="0" xfId="0" applyFont="1" applyFill="1" applyBorder="1" applyAlignment="1" applyProtection="1">
      <alignment horizontal="left"/>
    </xf>
    <xf numFmtId="0" fontId="37" fillId="0" borderId="0" xfId="0" applyNumberFormat="1" applyFont="1" applyFill="1" applyBorder="1" applyAlignment="1" applyProtection="1">
      <alignment horizontal="center" vertical="center"/>
    </xf>
    <xf numFmtId="0" fontId="9" fillId="0" borderId="13" xfId="0" applyFont="1" applyBorder="1" applyAlignment="1" applyProtection="1">
      <alignment horizontal="center" vertical="center"/>
    </xf>
    <xf numFmtId="0" fontId="0" fillId="0" borderId="84" xfId="0" applyBorder="1" applyAlignment="1" applyProtection="1">
      <alignment vertical="center"/>
    </xf>
    <xf numFmtId="0" fontId="3" fillId="0" borderId="0" xfId="0" applyNumberFormat="1" applyFont="1" applyFill="1" applyBorder="1" applyAlignment="1" applyProtection="1">
      <alignment horizontal="right"/>
    </xf>
    <xf numFmtId="0" fontId="0" fillId="0" borderId="0" xfId="0" applyFill="1" applyBorder="1" applyAlignment="1" applyProtection="1">
      <alignment horizontal="center" vertical="center"/>
    </xf>
    <xf numFmtId="0" fontId="9" fillId="0" borderId="82" xfId="0" applyFont="1" applyFill="1" applyBorder="1" applyAlignment="1" applyProtection="1">
      <alignment horizontal="center" vertical="center" wrapText="1"/>
    </xf>
    <xf numFmtId="0" fontId="9" fillId="4" borderId="105" xfId="0" applyFont="1" applyFill="1" applyBorder="1" applyAlignment="1" applyProtection="1">
      <alignment horizontal="center" vertical="center" wrapText="1"/>
    </xf>
    <xf numFmtId="0" fontId="3" fillId="0" borderId="111" xfId="0" applyFont="1" applyFill="1" applyBorder="1" applyAlignment="1" applyProtection="1">
      <alignment horizontal="center" vertical="center"/>
    </xf>
    <xf numFmtId="0" fontId="0" fillId="0" borderId="117" xfId="0" applyBorder="1" applyAlignment="1" applyProtection="1">
      <alignment vertical="center"/>
    </xf>
    <xf numFmtId="0" fontId="9" fillId="0" borderId="31" xfId="0" applyFont="1" applyFill="1" applyBorder="1" applyAlignment="1" applyProtection="1">
      <alignment vertical="center" wrapText="1"/>
    </xf>
    <xf numFmtId="0" fontId="121" fillId="0" borderId="21" xfId="0" applyFont="1" applyBorder="1" applyAlignment="1" applyProtection="1">
      <alignment horizontal="right" vertical="center"/>
    </xf>
    <xf numFmtId="17" fontId="9" fillId="0" borderId="84" xfId="0" applyNumberFormat="1" applyFont="1" applyBorder="1" applyAlignment="1" applyProtection="1">
      <alignment horizontal="center" vertical="center" wrapText="1"/>
    </xf>
    <xf numFmtId="0" fontId="9" fillId="0" borderId="1" xfId="0" applyFont="1" applyFill="1" applyBorder="1" applyAlignment="1" applyProtection="1">
      <alignment vertical="center" wrapText="1"/>
    </xf>
    <xf numFmtId="0" fontId="121" fillId="0" borderId="10" xfId="0" applyFont="1" applyBorder="1" applyAlignment="1" applyProtection="1">
      <alignment horizontal="right" vertical="center"/>
    </xf>
    <xf numFmtId="0" fontId="9" fillId="0" borderId="77" xfId="0" applyNumberFormat="1" applyFont="1" applyBorder="1" applyAlignment="1" applyProtection="1">
      <alignment horizontal="center" vertical="center" wrapText="1"/>
    </xf>
    <xf numFmtId="0" fontId="121" fillId="0" borderId="9" xfId="0" applyFont="1" applyBorder="1" applyAlignment="1" applyProtection="1">
      <alignment horizontal="right" vertical="center"/>
    </xf>
    <xf numFmtId="0" fontId="9" fillId="0" borderId="85" xfId="0" applyNumberFormat="1" applyFont="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12" fillId="0" borderId="0" xfId="0" applyFont="1" applyFill="1" applyBorder="1" applyProtection="1"/>
    <xf numFmtId="0" fontId="72" fillId="0" borderId="0" xfId="0" applyFont="1" applyFill="1" applyBorder="1" applyAlignment="1" applyProtection="1">
      <alignment horizontal="right" vertical="center"/>
    </xf>
    <xf numFmtId="0" fontId="78"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textRotation="90"/>
    </xf>
    <xf numFmtId="0" fontId="121" fillId="0" borderId="14" xfId="0" applyFont="1" applyBorder="1" applyAlignment="1" applyProtection="1">
      <alignment horizontal="right" vertical="center"/>
    </xf>
    <xf numFmtId="16" fontId="9" fillId="0" borderId="84" xfId="0" applyNumberFormat="1" applyFont="1" applyBorder="1" applyAlignment="1" applyProtection="1">
      <alignment horizontal="center" vertical="center" wrapText="1"/>
    </xf>
    <xf numFmtId="17" fontId="9" fillId="0" borderId="85" xfId="0" applyNumberFormat="1" applyFont="1" applyBorder="1" applyAlignment="1" applyProtection="1">
      <alignment horizontal="center" vertical="center" wrapText="1"/>
    </xf>
    <xf numFmtId="0" fontId="0" fillId="0" borderId="88" xfId="0" applyBorder="1" applyAlignment="1" applyProtection="1">
      <alignment vertical="center"/>
    </xf>
    <xf numFmtId="0" fontId="0" fillId="0" borderId="109" xfId="0" applyBorder="1" applyAlignment="1" applyProtection="1">
      <alignment vertical="center"/>
    </xf>
    <xf numFmtId="17" fontId="9" fillId="0" borderId="0" xfId="0" applyNumberFormat="1" applyFont="1" applyBorder="1" applyAlignment="1" applyProtection="1">
      <alignment horizontal="center" vertical="center" wrapText="1"/>
    </xf>
    <xf numFmtId="0" fontId="33"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37" fillId="0" borderId="0" xfId="0" applyFont="1" applyFill="1" applyBorder="1" applyAlignment="1" applyProtection="1">
      <alignment horizontal="left" vertical="center"/>
    </xf>
    <xf numFmtId="0" fontId="42" fillId="0" borderId="90" xfId="1" applyFont="1" applyBorder="1" applyAlignment="1" applyProtection="1">
      <alignment horizontal="center" vertical="center"/>
    </xf>
    <xf numFmtId="0" fontId="9" fillId="0" borderId="56" xfId="0" applyFont="1" applyBorder="1" applyAlignment="1" applyProtection="1">
      <alignment vertical="center" wrapText="1"/>
    </xf>
    <xf numFmtId="0" fontId="9" fillId="0" borderId="0" xfId="0" applyFont="1" applyBorder="1" applyAlignment="1" applyProtection="1">
      <alignment horizontal="center" vertical="center" wrapText="1"/>
    </xf>
    <xf numFmtId="0" fontId="114" fillId="0" borderId="0" xfId="0" applyFont="1" applyBorder="1" applyAlignment="1" applyProtection="1">
      <alignment horizontal="left"/>
    </xf>
    <xf numFmtId="0" fontId="5"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2" fontId="9" fillId="0" borderId="36" xfId="0" applyNumberFormat="1" applyFont="1" applyFill="1" applyBorder="1" applyAlignment="1" applyProtection="1">
      <alignment horizontal="center" vertical="center" wrapText="1"/>
    </xf>
    <xf numFmtId="0" fontId="81" fillId="0" borderId="16" xfId="0" applyFont="1" applyFill="1" applyBorder="1" applyAlignment="1" applyProtection="1">
      <alignment horizontal="center" vertical="center" wrapText="1"/>
    </xf>
    <xf numFmtId="0" fontId="81" fillId="0" borderId="18"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0" borderId="5" xfId="0" applyFont="1" applyFill="1" applyBorder="1" applyAlignment="1" applyProtection="1">
      <alignment horizontal="left" vertical="top"/>
    </xf>
    <xf numFmtId="2" fontId="9" fillId="0" borderId="34" xfId="0" applyNumberFormat="1" applyFont="1" applyFill="1" applyBorder="1" applyAlignment="1" applyProtection="1">
      <alignment horizontal="center" vertical="center" wrapText="1"/>
    </xf>
    <xf numFmtId="0" fontId="0" fillId="0" borderId="5" xfId="0" applyFill="1" applyBorder="1" applyAlignment="1" applyProtection="1">
      <alignment vertical="center"/>
    </xf>
    <xf numFmtId="0" fontId="0" fillId="0" borderId="13" xfId="0" applyFill="1" applyBorder="1" applyAlignment="1" applyProtection="1">
      <alignment vertical="center"/>
    </xf>
    <xf numFmtId="0" fontId="129" fillId="0" borderId="0" xfId="0" applyFont="1" applyFill="1" applyBorder="1" applyAlignment="1" applyProtection="1">
      <alignment vertical="center"/>
    </xf>
    <xf numFmtId="0" fontId="72" fillId="0" borderId="5" xfId="0" applyFont="1" applyBorder="1" applyAlignment="1" applyProtection="1">
      <alignment horizontal="justify" vertical="center" wrapText="1"/>
    </xf>
    <xf numFmtId="0" fontId="72" fillId="0" borderId="13" xfId="0" applyFont="1" applyBorder="1" applyAlignment="1" applyProtection="1">
      <alignment horizontal="justify" vertical="center" wrapText="1"/>
    </xf>
    <xf numFmtId="0" fontId="4" fillId="0" borderId="0" xfId="0" applyFont="1" applyFill="1" applyAlignment="1" applyProtection="1"/>
    <xf numFmtId="0" fontId="64" fillId="0" borderId="69" xfId="1" applyFont="1" applyBorder="1" applyAlignment="1" applyProtection="1">
      <alignment horizontal="center" vertical="center"/>
    </xf>
    <xf numFmtId="0" fontId="0" fillId="0" borderId="175" xfId="0" applyBorder="1" applyAlignment="1" applyProtection="1">
      <alignment vertical="center"/>
    </xf>
    <xf numFmtId="0" fontId="2" fillId="4" borderId="101" xfId="0" applyFont="1" applyFill="1" applyBorder="1" applyAlignment="1" applyProtection="1">
      <alignment horizontal="center" vertical="center" wrapText="1"/>
    </xf>
    <xf numFmtId="0" fontId="78" fillId="0" borderId="5" xfId="0" applyFont="1" applyBorder="1" applyAlignment="1" applyProtection="1">
      <alignment horizontal="right" vertical="center"/>
    </xf>
    <xf numFmtId="0" fontId="72" fillId="0" borderId="10" xfId="0" applyFont="1" applyBorder="1" applyAlignment="1" applyProtection="1">
      <alignment horizontal="center" vertical="center"/>
    </xf>
    <xf numFmtId="0" fontId="78" fillId="0" borderId="5" xfId="0" applyFont="1" applyBorder="1" applyAlignment="1" applyProtection="1">
      <alignment vertical="center"/>
    </xf>
    <xf numFmtId="0" fontId="12" fillId="0" borderId="54" xfId="0" applyFont="1" applyBorder="1" applyAlignment="1" applyProtection="1">
      <alignment vertical="center"/>
    </xf>
    <xf numFmtId="0" fontId="0" fillId="0" borderId="10" xfId="0" applyBorder="1" applyAlignment="1" applyProtection="1">
      <alignment vertical="center"/>
    </xf>
    <xf numFmtId="0" fontId="78" fillId="0" borderId="5" xfId="0" applyFont="1" applyFill="1" applyBorder="1" applyAlignment="1" applyProtection="1">
      <alignment horizontal="right" vertical="center"/>
    </xf>
    <xf numFmtId="0" fontId="72" fillId="0" borderId="16" xfId="0"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12" fillId="0" borderId="5" xfId="0" applyFont="1" applyBorder="1" applyProtection="1"/>
    <xf numFmtId="0" fontId="72" fillId="0" borderId="42" xfId="0" applyFont="1" applyBorder="1" applyAlignment="1" applyProtection="1">
      <alignment horizontal="right" vertical="center"/>
    </xf>
    <xf numFmtId="0" fontId="72" fillId="0" borderId="8" xfId="0" applyFont="1" applyBorder="1" applyAlignment="1" applyProtection="1">
      <alignment horizontal="center" vertical="center"/>
    </xf>
    <xf numFmtId="0" fontId="79" fillId="0" borderId="8" xfId="0" applyFont="1" applyBorder="1" applyAlignment="1" applyProtection="1">
      <alignment vertical="center"/>
    </xf>
    <xf numFmtId="0" fontId="72" fillId="0" borderId="11" xfId="0" applyFont="1" applyBorder="1" applyAlignment="1" applyProtection="1">
      <alignment horizontal="left" vertical="center"/>
    </xf>
    <xf numFmtId="0" fontId="72" fillId="0" borderId="8" xfId="0" applyFont="1" applyBorder="1" applyAlignment="1" applyProtection="1">
      <alignment vertical="center"/>
    </xf>
    <xf numFmtId="0" fontId="3" fillId="0" borderId="24" xfId="0" applyFont="1" applyBorder="1" applyAlignment="1" applyProtection="1">
      <alignment horizontal="center" vertical="center"/>
    </xf>
    <xf numFmtId="0" fontId="0" fillId="0" borderId="0" xfId="0" applyBorder="1" applyAlignment="1" applyProtection="1">
      <alignment horizontal="center" vertical="center"/>
    </xf>
    <xf numFmtId="0" fontId="2"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Border="1" applyProtection="1"/>
    <xf numFmtId="0" fontId="42" fillId="0" borderId="0" xfId="1"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73" fillId="0" borderId="16" xfId="0" applyFont="1" applyBorder="1" applyAlignment="1" applyProtection="1">
      <alignment horizontal="right" vertical="center"/>
    </xf>
    <xf numFmtId="0" fontId="71" fillId="0" borderId="16" xfId="0" applyFont="1" applyBorder="1" applyAlignment="1" applyProtection="1">
      <alignment horizontal="left" vertical="center"/>
    </xf>
    <xf numFmtId="0" fontId="6" fillId="0" borderId="0" xfId="0" applyFont="1" applyFill="1" applyBorder="1" applyAlignment="1" applyProtection="1">
      <alignment vertical="center" wrapText="1"/>
    </xf>
    <xf numFmtId="0" fontId="73" fillId="0" borderId="5" xfId="0" applyFont="1" applyBorder="1" applyAlignment="1" applyProtection="1">
      <alignment horizontal="right" vertical="center"/>
    </xf>
    <xf numFmtId="0" fontId="71" fillId="0" borderId="5" xfId="0" applyFont="1" applyBorder="1" applyAlignment="1" applyProtection="1">
      <alignment horizontal="left" vertical="center"/>
    </xf>
    <xf numFmtId="0" fontId="23" fillId="0" borderId="0" xfId="0" applyFont="1" applyFill="1" applyBorder="1" applyAlignment="1" applyProtection="1">
      <alignment horizontal="left" vertical="center" wrapText="1"/>
    </xf>
    <xf numFmtId="0" fontId="71" fillId="0" borderId="5" xfId="0" applyFont="1" applyBorder="1" applyAlignment="1" applyProtection="1">
      <alignment vertical="center"/>
    </xf>
    <xf numFmtId="0" fontId="3" fillId="0" borderId="16" xfId="0" applyFont="1" applyBorder="1" applyAlignment="1" applyProtection="1">
      <alignment vertical="center"/>
    </xf>
    <xf numFmtId="0" fontId="9" fillId="0" borderId="0" xfId="0" applyFont="1" applyFill="1" applyBorder="1" applyAlignment="1" applyProtection="1">
      <alignment horizontal="left" vertical="center" wrapText="1"/>
    </xf>
    <xf numFmtId="0" fontId="84" fillId="0" borderId="0" xfId="0" applyFont="1" applyFill="1" applyBorder="1" applyAlignment="1" applyProtection="1">
      <alignment vertical="center"/>
    </xf>
    <xf numFmtId="0" fontId="3" fillId="0" borderId="0" xfId="0" applyFont="1" applyBorder="1" applyAlignment="1" applyProtection="1">
      <alignment horizontal="center"/>
    </xf>
    <xf numFmtId="49" fontId="3" fillId="0" borderId="0" xfId="0" applyNumberFormat="1" applyFont="1" applyFill="1" applyBorder="1" applyAlignment="1" applyProtection="1">
      <alignment horizontal="center"/>
    </xf>
    <xf numFmtId="49" fontId="3" fillId="0" borderId="0" xfId="0" applyNumberFormat="1" applyFont="1" applyBorder="1" applyAlignment="1" applyProtection="1">
      <alignment horizontal="center"/>
    </xf>
    <xf numFmtId="0" fontId="3" fillId="0" borderId="0" xfId="0" applyFont="1" applyFill="1" applyBorder="1" applyProtection="1"/>
    <xf numFmtId="0" fontId="3" fillId="0" borderId="0" xfId="0" applyFont="1" applyFill="1" applyBorder="1" applyAlignment="1" applyProtection="1">
      <alignment horizontal="left"/>
    </xf>
    <xf numFmtId="0" fontId="43" fillId="2" borderId="0" xfId="0" applyFont="1" applyFill="1" applyBorder="1" applyAlignment="1" applyProtection="1">
      <alignment horizontal="center"/>
    </xf>
    <xf numFmtId="0" fontId="3" fillId="2" borderId="0" xfId="0" applyFont="1" applyFill="1" applyBorder="1" applyAlignment="1" applyProtection="1">
      <alignment horizontal="center"/>
    </xf>
    <xf numFmtId="49" fontId="113" fillId="0" borderId="0" xfId="0" applyNumberFormat="1" applyFont="1" applyFill="1" applyBorder="1" applyAlignment="1" applyProtection="1">
      <alignment horizontal="center"/>
    </xf>
    <xf numFmtId="0" fontId="3" fillId="0" borderId="0" xfId="0" applyFont="1" applyBorder="1" applyAlignment="1" applyProtection="1">
      <alignment horizontal="left"/>
    </xf>
    <xf numFmtId="0" fontId="1" fillId="0" borderId="0" xfId="0" applyFont="1" applyBorder="1" applyProtection="1"/>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44" fillId="0" borderId="0" xfId="0" applyFont="1" applyBorder="1" applyProtection="1"/>
    <xf numFmtId="0" fontId="9" fillId="0" borderId="0" xfId="0" applyFont="1" applyBorder="1" applyAlignment="1" applyProtection="1">
      <alignment vertical="top"/>
    </xf>
    <xf numFmtId="0" fontId="0" fillId="0" borderId="0" xfId="0" applyAlignment="1" applyProtection="1">
      <alignment horizontal="center" vertical="center"/>
    </xf>
    <xf numFmtId="0" fontId="141" fillId="0" borderId="0" xfId="0" applyFont="1" applyFill="1" applyAlignment="1" applyProtection="1">
      <alignment vertical="center"/>
    </xf>
    <xf numFmtId="174" fontId="16" fillId="0" borderId="0" xfId="0" applyNumberFormat="1" applyFont="1" applyFill="1" applyBorder="1" applyAlignment="1" applyProtection="1">
      <alignment vertical="center"/>
    </xf>
    <xf numFmtId="0" fontId="67" fillId="0" borderId="22" xfId="0" applyFont="1" applyFill="1" applyBorder="1" applyAlignment="1" applyProtection="1">
      <alignment vertical="center"/>
    </xf>
    <xf numFmtId="0" fontId="82" fillId="0" borderId="51" xfId="0" applyFont="1" applyFill="1" applyBorder="1" applyAlignment="1" applyProtection="1">
      <alignment horizontal="left" vertical="center" textRotation="90"/>
    </xf>
    <xf numFmtId="0" fontId="82" fillId="0" borderId="44" xfId="0" applyFont="1" applyFill="1" applyBorder="1" applyAlignment="1" applyProtection="1">
      <alignment horizontal="left" vertical="center" textRotation="90"/>
    </xf>
    <xf numFmtId="0" fontId="3" fillId="0" borderId="0" xfId="0" applyFont="1" applyFill="1" applyBorder="1" applyAlignment="1" applyProtection="1">
      <alignment horizontal="right" vertical="center"/>
    </xf>
    <xf numFmtId="0" fontId="88" fillId="0" borderId="0" xfId="0" applyFont="1" applyFill="1" applyAlignment="1" applyProtection="1">
      <alignment vertical="center" wrapText="1"/>
    </xf>
    <xf numFmtId="0" fontId="1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0" xfId="0" applyFont="1" applyBorder="1" applyAlignment="1" applyProtection="1">
      <alignment horizontal="right" vertical="center"/>
    </xf>
    <xf numFmtId="0" fontId="1" fillId="0" borderId="0" xfId="0" applyFont="1" applyFill="1" applyBorder="1" applyAlignment="1" applyProtection="1">
      <alignment horizontal="center" vertical="center"/>
    </xf>
    <xf numFmtId="0" fontId="0" fillId="0" borderId="0" xfId="0" applyBorder="1"/>
    <xf numFmtId="0" fontId="15" fillId="0" borderId="0" xfId="0" applyFont="1" applyFill="1" applyAlignment="1" applyProtection="1">
      <alignment vertical="center"/>
    </xf>
    <xf numFmtId="0" fontId="67" fillId="0" borderId="16" xfId="0" applyFont="1" applyFill="1" applyBorder="1" applyAlignment="1" applyProtection="1">
      <alignment vertical="center"/>
    </xf>
    <xf numFmtId="0" fontId="1" fillId="0" borderId="0" xfId="0" applyFont="1" applyFill="1" applyAlignment="1" applyProtection="1">
      <alignment vertical="center"/>
    </xf>
    <xf numFmtId="0" fontId="3" fillId="0" borderId="0" xfId="0" applyFont="1" applyFill="1" applyAlignment="1" applyProtection="1">
      <alignment vertical="center"/>
    </xf>
    <xf numFmtId="0" fontId="70" fillId="0" borderId="0" xfId="0" applyFont="1" applyAlignment="1" applyProtection="1">
      <alignment horizontal="center" vertical="center"/>
      <protection locked="0"/>
    </xf>
    <xf numFmtId="0" fontId="2" fillId="0" borderId="0" xfId="0"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0" fontId="67" fillId="0" borderId="51" xfId="0" applyFont="1" applyFill="1" applyBorder="1" applyAlignment="1" applyProtection="1">
      <alignment vertical="center"/>
    </xf>
    <xf numFmtId="0" fontId="138" fillId="0" borderId="0" xfId="0" applyFont="1" applyFill="1" applyBorder="1" applyAlignment="1" applyProtection="1">
      <alignment horizontal="center" vertical="center"/>
    </xf>
    <xf numFmtId="0" fontId="92"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140" fillId="0" borderId="0" xfId="0" applyFont="1" applyFill="1" applyBorder="1" applyAlignment="1" applyProtection="1">
      <alignment horizontal="center" vertical="center"/>
    </xf>
    <xf numFmtId="0" fontId="92" fillId="0" borderId="0" xfId="0" applyFont="1" applyFill="1" applyBorder="1" applyAlignment="1">
      <alignment horizontal="center" vertical="center"/>
    </xf>
    <xf numFmtId="49" fontId="97"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center" vertical="center" wrapText="1"/>
    </xf>
    <xf numFmtId="49" fontId="97" fillId="0" borderId="0" xfId="0" applyNumberFormat="1" applyFont="1" applyFill="1" applyBorder="1" applyAlignment="1" applyProtection="1">
      <alignment horizontal="center" vertical="center" wrapText="1"/>
    </xf>
    <xf numFmtId="0" fontId="103" fillId="0" borderId="0" xfId="0" applyFont="1" applyFill="1" applyBorder="1" applyAlignment="1" applyProtection="1">
      <alignment horizontal="center" vertical="center"/>
    </xf>
    <xf numFmtId="0" fontId="77" fillId="0" borderId="0" xfId="0" applyFont="1" applyFill="1" applyBorder="1" applyAlignment="1" applyProtection="1">
      <alignment horizontal="center" vertical="center" wrapText="1"/>
    </xf>
    <xf numFmtId="49" fontId="77"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167" fontId="0" fillId="0" borderId="0" xfId="0" applyNumberFormat="1" applyFill="1" applyBorder="1" applyAlignment="1" applyProtection="1">
      <alignment vertical="center"/>
    </xf>
    <xf numFmtId="49" fontId="92" fillId="0" borderId="0" xfId="0" applyNumberFormat="1" applyFont="1" applyFill="1" applyBorder="1" applyAlignment="1">
      <alignment horizontal="center" vertical="center"/>
    </xf>
    <xf numFmtId="0" fontId="1" fillId="0" borderId="0" xfId="0" applyFont="1" applyFill="1" applyBorder="1" applyAlignment="1" applyProtection="1">
      <alignment vertical="center"/>
    </xf>
    <xf numFmtId="49" fontId="97" fillId="0" borderId="0" xfId="0" applyNumberFormat="1" applyFont="1" applyFill="1" applyBorder="1" applyAlignment="1">
      <alignment horizontal="center" vertical="center" wrapText="1"/>
    </xf>
    <xf numFmtId="0" fontId="138" fillId="0" borderId="0" xfId="0" applyFont="1" applyFill="1" applyBorder="1" applyAlignment="1">
      <alignment horizontal="center" vertical="center"/>
    </xf>
    <xf numFmtId="0" fontId="77" fillId="0" borderId="16" xfId="0" applyFont="1" applyFill="1" applyBorder="1" applyAlignment="1" applyProtection="1">
      <alignment horizontal="center" vertical="center"/>
    </xf>
    <xf numFmtId="0" fontId="77" fillId="0" borderId="2" xfId="0" applyFont="1" applyFill="1" applyBorder="1" applyAlignment="1" applyProtection="1">
      <alignment horizontal="center" vertical="center"/>
    </xf>
    <xf numFmtId="49" fontId="146" fillId="18" borderId="2" xfId="0" applyNumberFormat="1" applyFont="1" applyFill="1" applyBorder="1" applyAlignment="1" applyProtection="1">
      <alignment horizontal="center" vertical="center"/>
    </xf>
    <xf numFmtId="49" fontId="146" fillId="18" borderId="14" xfId="0" applyNumberFormat="1" applyFont="1" applyFill="1" applyBorder="1" applyAlignment="1" applyProtection="1">
      <alignment horizontal="center" vertical="center"/>
    </xf>
    <xf numFmtId="0" fontId="146" fillId="18" borderId="1" xfId="0" applyFont="1" applyFill="1" applyBorder="1" applyAlignment="1" applyProtection="1">
      <alignment horizontal="center" vertical="center"/>
    </xf>
    <xf numFmtId="0" fontId="146" fillId="18" borderId="1" xfId="0" applyFont="1" applyFill="1" applyBorder="1" applyAlignment="1" applyProtection="1">
      <alignment horizontal="center" vertical="center" wrapText="1"/>
    </xf>
    <xf numFmtId="49" fontId="146" fillId="18" borderId="7" xfId="0" applyNumberFormat="1" applyFont="1" applyFill="1" applyBorder="1" applyAlignment="1" applyProtection="1">
      <alignment horizontal="center" vertical="center"/>
    </xf>
    <xf numFmtId="49" fontId="146" fillId="18" borderId="7" xfId="0" applyNumberFormat="1" applyFont="1" applyFill="1" applyBorder="1" applyAlignment="1" applyProtection="1">
      <alignment horizontal="center" vertical="center" wrapText="1"/>
    </xf>
    <xf numFmtId="0" fontId="97" fillId="0" borderId="17" xfId="0" applyFont="1" applyFill="1" applyBorder="1" applyAlignment="1" applyProtection="1">
      <alignment horizontal="center" vertical="center"/>
    </xf>
    <xf numFmtId="2" fontId="9" fillId="0" borderId="32" xfId="0" applyNumberFormat="1" applyFont="1" applyFill="1" applyBorder="1" applyAlignment="1" applyProtection="1">
      <alignment horizontal="center" vertical="center" wrapText="1"/>
    </xf>
    <xf numFmtId="2" fontId="9" fillId="0" borderId="33" xfId="0" applyNumberFormat="1" applyFont="1" applyFill="1" applyBorder="1" applyAlignment="1" applyProtection="1">
      <alignment horizontal="center" vertical="center" wrapText="1"/>
    </xf>
    <xf numFmtId="0" fontId="72" fillId="0" borderId="8" xfId="0" applyFont="1" applyBorder="1" applyAlignment="1" applyProtection="1">
      <alignment horizontal="justify" vertical="center" wrapText="1"/>
    </xf>
    <xf numFmtId="0" fontId="72" fillId="0" borderId="23" xfId="0" applyFont="1" applyBorder="1" applyAlignment="1" applyProtection="1">
      <alignment horizontal="justify" vertical="center" wrapText="1"/>
    </xf>
    <xf numFmtId="0" fontId="9" fillId="0" borderId="42" xfId="0" applyFont="1" applyBorder="1" applyAlignment="1" applyProtection="1">
      <alignment vertical="center"/>
    </xf>
    <xf numFmtId="0" fontId="28" fillId="0" borderId="0" xfId="0" applyFont="1" applyFill="1" applyBorder="1" applyAlignment="1" applyProtection="1">
      <alignment horizontal="center" vertical="center" wrapText="1"/>
    </xf>
    <xf numFmtId="0" fontId="135" fillId="0" borderId="0" xfId="0" applyFont="1" applyFill="1" applyBorder="1" applyAlignment="1" applyProtection="1">
      <alignment horizontal="right" vertical="center"/>
    </xf>
    <xf numFmtId="0" fontId="32" fillId="19" borderId="0" xfId="0" applyFont="1" applyFill="1" applyAlignment="1" applyProtection="1">
      <alignment vertical="center"/>
    </xf>
    <xf numFmtId="0" fontId="67" fillId="19" borderId="0" xfId="0" applyFont="1" applyFill="1" applyAlignment="1" applyProtection="1">
      <alignment vertical="center"/>
    </xf>
    <xf numFmtId="0" fontId="148" fillId="0" borderId="0" xfId="0" applyFont="1" applyFill="1" applyAlignment="1" applyProtection="1">
      <alignment vertical="center" wrapText="1"/>
    </xf>
    <xf numFmtId="0" fontId="2" fillId="0" borderId="0" xfId="0" applyFont="1" applyFill="1" applyBorder="1" applyAlignment="1" applyProtection="1">
      <alignment vertical="center"/>
    </xf>
    <xf numFmtId="0" fontId="9" fillId="0" borderId="8" xfId="0" applyFont="1" applyFill="1" applyBorder="1" applyAlignment="1" applyProtection="1">
      <alignment vertical="center" wrapText="1"/>
    </xf>
    <xf numFmtId="0" fontId="9" fillId="0" borderId="5"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3" xfId="0" applyFont="1" applyFill="1" applyBorder="1" applyAlignment="1" applyProtection="1">
      <alignment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2" fillId="3" borderId="158" xfId="0" applyFont="1" applyFill="1" applyBorder="1" applyAlignment="1" applyProtection="1">
      <alignment horizontal="center" wrapText="1"/>
    </xf>
    <xf numFmtId="0" fontId="2" fillId="3" borderId="85" xfId="0" applyFont="1" applyFill="1" applyBorder="1" applyAlignment="1" applyProtection="1">
      <alignment horizontal="center" wrapText="1"/>
    </xf>
    <xf numFmtId="0" fontId="13" fillId="3" borderId="125" xfId="0" applyFont="1" applyFill="1" applyBorder="1" applyAlignment="1" applyProtection="1">
      <alignment vertical="center"/>
    </xf>
    <xf numFmtId="0" fontId="13" fillId="3" borderId="150" xfId="0" applyFont="1" applyFill="1" applyBorder="1" applyAlignment="1" applyProtection="1">
      <alignment vertical="center"/>
    </xf>
    <xf numFmtId="49" fontId="9" fillId="0" borderId="3"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49" fontId="9" fillId="0" borderId="5" xfId="0" applyNumberFormat="1" applyFont="1" applyBorder="1" applyAlignment="1" applyProtection="1">
      <alignment horizontal="center" vertical="center" wrapText="1"/>
    </xf>
    <xf numFmtId="49" fontId="9" fillId="0" borderId="13" xfId="0" applyNumberFormat="1" applyFont="1" applyBorder="1" applyAlignment="1" applyProtection="1">
      <alignment horizontal="center" vertical="center" wrapText="1"/>
    </xf>
    <xf numFmtId="49" fontId="9" fillId="0" borderId="81" xfId="0" applyNumberFormat="1" applyFont="1" applyBorder="1" applyAlignment="1" applyProtection="1">
      <alignment horizontal="center" vertical="center" wrapText="1"/>
    </xf>
    <xf numFmtId="49" fontId="9" fillId="0" borderId="82" xfId="0" applyNumberFormat="1" applyFont="1" applyBorder="1" applyAlignment="1" applyProtection="1">
      <alignment horizontal="center" vertical="center" wrapText="1"/>
    </xf>
    <xf numFmtId="0" fontId="67" fillId="0" borderId="17" xfId="0" applyFont="1" applyFill="1" applyBorder="1" applyAlignment="1" applyProtection="1">
      <alignment vertical="center"/>
    </xf>
    <xf numFmtId="0" fontId="9" fillId="0" borderId="0" xfId="0" applyFont="1" applyFill="1" applyBorder="1" applyAlignment="1" applyProtection="1">
      <alignment horizontal="right" vertical="center" wrapText="1"/>
    </xf>
    <xf numFmtId="0" fontId="9" fillId="0" borderId="40" xfId="0" applyFont="1" applyBorder="1" applyAlignment="1" applyProtection="1">
      <alignment vertical="center"/>
    </xf>
    <xf numFmtId="0" fontId="9" fillId="0" borderId="24" xfId="0" applyFont="1" applyBorder="1" applyAlignment="1" applyProtection="1">
      <alignment horizontal="center" vertical="center"/>
    </xf>
    <xf numFmtId="0" fontId="148" fillId="0" borderId="0" xfId="0" applyFont="1" applyFill="1" applyBorder="1" applyAlignment="1" applyProtection="1">
      <alignment vertical="center" wrapText="1"/>
    </xf>
    <xf numFmtId="0" fontId="92" fillId="0" borderId="0" xfId="0" applyFont="1" applyFill="1" applyBorder="1" applyAlignment="1" applyProtection="1">
      <alignment horizontal="right"/>
    </xf>
    <xf numFmtId="0" fontId="3"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1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xf>
    <xf numFmtId="0" fontId="28" fillId="0" borderId="0" xfId="0" applyFont="1" applyFill="1" applyBorder="1" applyAlignment="1" applyProtection="1">
      <alignment horizontal="left"/>
    </xf>
    <xf numFmtId="0" fontId="1" fillId="0" borderId="0" xfId="0" applyFont="1" applyFill="1" applyBorder="1" applyProtection="1"/>
    <xf numFmtId="0" fontId="28"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0" fontId="33"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1" fillId="0" borderId="0" xfId="0" applyFont="1" applyFill="1" applyBorder="1" applyAlignment="1" applyProtection="1">
      <alignment vertical="center"/>
    </xf>
    <xf numFmtId="0" fontId="1" fillId="0" borderId="0" xfId="0" applyFont="1" applyFill="1" applyBorder="1" applyAlignment="1" applyProtection="1">
      <alignment horizontal="right" textRotation="90" wrapText="1"/>
    </xf>
    <xf numFmtId="0" fontId="144"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13" fillId="0" borderId="0" xfId="0" applyFont="1" applyFill="1" applyAlignment="1" applyProtection="1">
      <alignment horizontal="center" vertical="center"/>
    </xf>
    <xf numFmtId="0" fontId="11" fillId="0" borderId="0" xfId="0" applyFont="1" applyFill="1" applyBorder="1" applyAlignment="1" applyProtection="1">
      <alignment horizontal="left"/>
    </xf>
    <xf numFmtId="0" fontId="30"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textRotation="90"/>
    </xf>
    <xf numFmtId="0" fontId="152" fillId="0" borderId="0" xfId="0" applyFont="1" applyFill="1" applyAlignment="1" applyProtection="1">
      <alignment vertical="center"/>
    </xf>
    <xf numFmtId="0" fontId="102" fillId="0" borderId="0" xfId="0" applyFont="1" applyFill="1" applyBorder="1" applyAlignment="1" applyProtection="1">
      <alignment horizontal="left" vertical="center"/>
    </xf>
    <xf numFmtId="0" fontId="54" fillId="0" borderId="24" xfId="0" applyFont="1" applyFill="1" applyBorder="1" applyAlignment="1" applyProtection="1">
      <alignment vertical="center"/>
    </xf>
    <xf numFmtId="0" fontId="152" fillId="0" borderId="0" xfId="0" applyFont="1" applyFill="1" applyAlignment="1" applyProtection="1">
      <alignment vertical="center" wrapText="1"/>
    </xf>
    <xf numFmtId="0" fontId="9" fillId="0" borderId="4" xfId="0" applyFont="1" applyFill="1" applyBorder="1" applyAlignment="1" applyProtection="1">
      <alignment horizontal="center" vertical="center"/>
    </xf>
    <xf numFmtId="0" fontId="54" fillId="13" borderId="16" xfId="0" applyFont="1" applyFill="1" applyBorder="1" applyAlignment="1" applyProtection="1">
      <alignment horizontal="center"/>
    </xf>
    <xf numFmtId="0" fontId="54" fillId="13" borderId="2" xfId="0" applyFont="1" applyFill="1" applyBorder="1" applyAlignment="1" applyProtection="1">
      <alignment horizontal="center"/>
    </xf>
    <xf numFmtId="0" fontId="54" fillId="13" borderId="134" xfId="0" applyFont="1" applyFill="1" applyBorder="1" applyAlignment="1" applyProtection="1">
      <alignment horizontal="center"/>
    </xf>
    <xf numFmtId="0" fontId="32" fillId="0" borderId="0" xfId="0" applyFont="1" applyFill="1" applyAlignment="1" applyProtection="1">
      <alignment horizontal="right" vertical="center"/>
    </xf>
    <xf numFmtId="0" fontId="99" fillId="0" borderId="24" xfId="0" applyFont="1" applyFill="1" applyBorder="1" applyAlignment="1" applyProtection="1">
      <alignment horizontal="left"/>
    </xf>
    <xf numFmtId="0" fontId="9" fillId="0" borderId="45" xfId="0" applyFont="1" applyFill="1" applyBorder="1" applyAlignment="1" applyProtection="1">
      <alignment horizontal="left" vertical="center"/>
    </xf>
    <xf numFmtId="0" fontId="9" fillId="0" borderId="45"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right" vertical="center"/>
    </xf>
    <xf numFmtId="49" fontId="67" fillId="0" borderId="0" xfId="0" applyNumberFormat="1" applyFont="1" applyFill="1" applyBorder="1" applyAlignment="1" applyProtection="1">
      <alignment vertical="center"/>
    </xf>
    <xf numFmtId="0" fontId="2" fillId="0" borderId="41" xfId="0" applyFont="1" applyFill="1" applyBorder="1" applyAlignment="1" applyProtection="1">
      <alignment horizontal="left" vertical="center"/>
    </xf>
    <xf numFmtId="0" fontId="67" fillId="0" borderId="4" xfId="0" applyFont="1" applyFill="1" applyBorder="1" applyAlignment="1" applyProtection="1">
      <alignment vertical="center"/>
    </xf>
    <xf numFmtId="0" fontId="9" fillId="0" borderId="131" xfId="0" applyFont="1" applyFill="1" applyBorder="1" applyAlignment="1" applyProtection="1">
      <alignment horizontal="left" vertical="center"/>
    </xf>
    <xf numFmtId="0" fontId="72" fillId="0" borderId="45" xfId="0" applyFont="1" applyBorder="1" applyAlignment="1" applyProtection="1">
      <alignment horizontal="right" vertical="center"/>
    </xf>
    <xf numFmtId="0" fontId="72" fillId="0" borderId="45" xfId="0" applyFont="1" applyBorder="1" applyAlignment="1" applyProtection="1">
      <alignment horizontal="left" vertical="center"/>
    </xf>
    <xf numFmtId="0" fontId="72" fillId="0" borderId="45" xfId="0" applyFont="1" applyBorder="1" applyAlignment="1" applyProtection="1">
      <alignment vertical="center"/>
    </xf>
    <xf numFmtId="0" fontId="9" fillId="0" borderId="45" xfId="0" applyFont="1" applyBorder="1" applyAlignment="1" applyProtection="1">
      <alignment vertical="center" textRotation="90"/>
    </xf>
    <xf numFmtId="0" fontId="0" fillId="0" borderId="93" xfId="0" applyBorder="1" applyAlignment="1" applyProtection="1">
      <alignment vertical="center"/>
    </xf>
    <xf numFmtId="0" fontId="2" fillId="0" borderId="51" xfId="0" applyFont="1" applyFill="1" applyBorder="1" applyAlignment="1" applyProtection="1">
      <alignment horizontal="center" vertical="center"/>
    </xf>
    <xf numFmtId="0" fontId="0" fillId="0" borderId="28" xfId="0" applyBorder="1" applyAlignment="1" applyProtection="1">
      <alignment vertical="center"/>
    </xf>
    <xf numFmtId="0" fontId="0" fillId="0" borderId="51" xfId="0" applyFill="1" applyBorder="1" applyAlignment="1" applyProtection="1">
      <alignment vertical="center"/>
    </xf>
    <xf numFmtId="0" fontId="95" fillId="0" borderId="0" xfId="0" applyFont="1" applyBorder="1" applyAlignment="1" applyProtection="1">
      <alignment horizontal="right" vertical="center"/>
    </xf>
    <xf numFmtId="0" fontId="0" fillId="0" borderId="51" xfId="0"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vertical="center"/>
    </xf>
    <xf numFmtId="0" fontId="88" fillId="0" borderId="0" xfId="0" applyFont="1" applyBorder="1" applyAlignment="1" applyProtection="1"/>
    <xf numFmtId="0" fontId="0" fillId="0" borderId="44" xfId="0" applyFill="1" applyBorder="1" applyAlignment="1" applyProtection="1">
      <alignment vertical="center"/>
    </xf>
    <xf numFmtId="0" fontId="0" fillId="0" borderId="22" xfId="0" applyBorder="1" applyAlignment="1" applyProtection="1">
      <alignment vertical="center"/>
    </xf>
    <xf numFmtId="0" fontId="76" fillId="0" borderId="51" xfId="0" applyFont="1" applyBorder="1" applyAlignment="1" applyProtection="1">
      <alignment horizontal="left" vertical="top"/>
    </xf>
    <xf numFmtId="0" fontId="95" fillId="0" borderId="0" xfId="0" applyFont="1" applyBorder="1" applyAlignment="1" applyProtection="1">
      <alignment vertical="center"/>
    </xf>
    <xf numFmtId="0" fontId="67" fillId="13" borderId="85" xfId="0" applyFont="1" applyFill="1" applyBorder="1" applyAlignment="1" applyProtection="1">
      <alignment vertical="center"/>
    </xf>
    <xf numFmtId="0" fontId="9" fillId="0" borderId="45" xfId="0" applyFont="1" applyFill="1" applyBorder="1" applyAlignment="1" applyProtection="1">
      <alignment horizontal="right" vertical="center" wrapText="1"/>
    </xf>
    <xf numFmtId="0" fontId="2" fillId="0" borderId="14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97" fillId="0" borderId="24" xfId="0" applyFont="1" applyFill="1" applyBorder="1" applyAlignment="1" applyProtection="1">
      <alignment horizontal="center" vertical="center"/>
    </xf>
    <xf numFmtId="0" fontId="2" fillId="7" borderId="9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protection locked="0"/>
    </xf>
    <xf numFmtId="0" fontId="2" fillId="7" borderId="141" xfId="0" applyFont="1" applyFill="1" applyBorder="1" applyAlignment="1" applyProtection="1">
      <alignment horizontal="center" vertical="center"/>
      <protection locked="0"/>
    </xf>
    <xf numFmtId="0" fontId="47" fillId="0" borderId="80" xfId="0" applyFont="1" applyBorder="1" applyAlignment="1" applyProtection="1">
      <alignment horizontal="center" vertical="center"/>
    </xf>
    <xf numFmtId="0" fontId="16" fillId="0" borderId="54" xfId="0" applyFont="1" applyFill="1" applyBorder="1" applyAlignment="1" applyProtection="1">
      <alignment vertical="center"/>
    </xf>
    <xf numFmtId="0" fontId="98" fillId="0" borderId="24" xfId="0" applyFont="1" applyFill="1" applyBorder="1" applyAlignment="1" applyProtection="1">
      <alignment horizontal="left" vertical="top"/>
    </xf>
    <xf numFmtId="0" fontId="2" fillId="7" borderId="18" xfId="0" applyFont="1" applyFill="1" applyBorder="1" applyAlignment="1" applyProtection="1">
      <alignment horizontal="center" vertical="center"/>
      <protection locked="0"/>
    </xf>
    <xf numFmtId="0" fontId="12" fillId="0" borderId="16" xfId="0" applyFont="1" applyFill="1" applyBorder="1" applyAlignment="1" applyProtection="1">
      <alignment horizontal="left" vertical="center"/>
    </xf>
    <xf numFmtId="168" fontId="97" fillId="0" borderId="16" xfId="0" applyNumberFormat="1" applyFont="1" applyFill="1" applyBorder="1" applyAlignment="1" applyProtection="1">
      <alignment horizontal="center" vertical="center"/>
    </xf>
    <xf numFmtId="0" fontId="97" fillId="0" borderId="114" xfId="0" applyFont="1" applyFill="1" applyBorder="1" applyAlignment="1" applyProtection="1">
      <alignment horizontal="center" vertical="center" wrapText="1"/>
    </xf>
    <xf numFmtId="0" fontId="12" fillId="0" borderId="21"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97" fillId="0" borderId="9" xfId="0" applyFont="1" applyFill="1" applyBorder="1" applyAlignment="1" applyProtection="1">
      <alignment horizontal="center" vertical="center"/>
    </xf>
    <xf numFmtId="0" fontId="97" fillId="0" borderId="8" xfId="0" applyFont="1" applyFill="1" applyBorder="1" applyAlignment="1" applyProtection="1">
      <alignment horizontal="center" vertical="center"/>
    </xf>
    <xf numFmtId="0" fontId="97" fillId="0" borderId="11" xfId="0" applyFont="1" applyFill="1" applyBorder="1" applyAlignment="1" applyProtection="1">
      <alignment horizontal="center" vertical="center"/>
    </xf>
    <xf numFmtId="0" fontId="54" fillId="0" borderId="3" xfId="0" applyFont="1" applyFill="1" applyBorder="1" applyAlignment="1" applyProtection="1">
      <alignment horizontal="center" vertical="center"/>
    </xf>
    <xf numFmtId="0" fontId="162" fillId="0" borderId="0" xfId="0" applyFont="1" applyFill="1" applyBorder="1" applyAlignment="1" applyProtection="1">
      <alignment vertical="center" wrapText="1"/>
    </xf>
    <xf numFmtId="0" fontId="54" fillId="0" borderId="0" xfId="0" applyFont="1" applyFill="1" applyBorder="1" applyAlignment="1" applyProtection="1">
      <alignment vertical="center"/>
    </xf>
    <xf numFmtId="0" fontId="146" fillId="0" borderId="3" xfId="0" applyFont="1" applyFill="1" applyBorder="1" applyAlignment="1" applyProtection="1">
      <alignment horizontal="center" vertical="center"/>
    </xf>
    <xf numFmtId="0" fontId="97" fillId="0" borderId="3" xfId="0" applyFont="1" applyFill="1" applyBorder="1" applyAlignment="1" applyProtection="1">
      <alignment horizontal="center" vertical="center"/>
    </xf>
    <xf numFmtId="0" fontId="180" fillId="0" borderId="0" xfId="0" applyFont="1" applyFill="1" applyBorder="1" applyAlignment="1" applyProtection="1">
      <alignment horizontal="center" vertical="center" wrapText="1"/>
    </xf>
    <xf numFmtId="0" fontId="2" fillId="7" borderId="89"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xf>
    <xf numFmtId="0" fontId="16" fillId="0" borderId="140" xfId="0" applyFont="1" applyFill="1" applyBorder="1" applyAlignment="1" applyProtection="1">
      <alignment horizontal="right" vertical="center" wrapText="1"/>
    </xf>
    <xf numFmtId="0" fontId="70" fillId="0" borderId="11"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wrapText="1"/>
    </xf>
    <xf numFmtId="0" fontId="16" fillId="0" borderId="89"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42" xfId="0" applyFont="1" applyFill="1" applyBorder="1" applyAlignment="1" applyProtection="1">
      <alignment vertical="center"/>
    </xf>
    <xf numFmtId="49" fontId="146" fillId="18" borderId="1" xfId="0" applyNumberFormat="1" applyFont="1" applyFill="1" applyBorder="1" applyAlignment="1" applyProtection="1">
      <alignment horizontal="center" vertical="center"/>
    </xf>
    <xf numFmtId="0" fontId="14" fillId="0" borderId="40" xfId="0" applyFont="1" applyFill="1" applyBorder="1" applyAlignment="1" applyProtection="1">
      <alignment horizontal="right"/>
    </xf>
    <xf numFmtId="0" fontId="15" fillId="7" borderId="3" xfId="0" applyFont="1" applyFill="1" applyBorder="1" applyAlignment="1" applyProtection="1">
      <alignment horizontal="left"/>
      <protection locked="0"/>
    </xf>
    <xf numFmtId="0" fontId="2" fillId="0" borderId="3" xfId="0" applyFont="1" applyFill="1" applyBorder="1" applyAlignment="1" applyProtection="1">
      <alignment horizontal="right"/>
    </xf>
    <xf numFmtId="0" fontId="92" fillId="9" borderId="3" xfId="0" applyFont="1" applyFill="1" applyBorder="1" applyAlignment="1" applyProtection="1">
      <alignment horizontal="left"/>
      <protection locked="0"/>
    </xf>
    <xf numFmtId="0" fontId="67" fillId="13" borderId="44" xfId="0" applyFont="1" applyFill="1" applyBorder="1" applyAlignment="1" applyProtection="1">
      <alignment vertical="center"/>
    </xf>
    <xf numFmtId="49" fontId="16" fillId="13" borderId="7" xfId="0" applyNumberFormat="1" applyFont="1" applyFill="1" applyBorder="1" applyAlignment="1" applyProtection="1">
      <alignment vertical="center"/>
    </xf>
    <xf numFmtId="0" fontId="97" fillId="17" borderId="13" xfId="0" applyFont="1" applyFill="1" applyBorder="1" applyAlignment="1" applyProtection="1">
      <alignment horizontal="center"/>
      <protection locked="0"/>
    </xf>
    <xf numFmtId="176" fontId="97" fillId="17" borderId="13" xfId="0" applyNumberFormat="1" applyFont="1" applyFill="1" applyBorder="1" applyAlignment="1" applyProtection="1">
      <alignment horizontal="center"/>
      <protection locked="0"/>
    </xf>
    <xf numFmtId="0" fontId="12" fillId="0" borderId="46" xfId="0" applyFont="1" applyFill="1" applyBorder="1" applyAlignment="1" applyProtection="1">
      <alignment horizontal="left"/>
    </xf>
    <xf numFmtId="0" fontId="150" fillId="0" borderId="21" xfId="0" applyFont="1" applyFill="1" applyBorder="1" applyAlignment="1" applyProtection="1">
      <alignment horizontal="center" vertical="center"/>
    </xf>
    <xf numFmtId="0" fontId="14" fillId="0" borderId="17" xfId="0" applyFont="1" applyFill="1" applyBorder="1" applyAlignment="1" applyProtection="1">
      <alignment vertical="center"/>
    </xf>
    <xf numFmtId="0" fontId="16" fillId="0" borderId="17" xfId="0" applyFont="1" applyFill="1" applyBorder="1" applyAlignment="1" applyProtection="1">
      <alignment horizontal="right" vertical="center"/>
    </xf>
    <xf numFmtId="0" fontId="47" fillId="0" borderId="17" xfId="0" applyFont="1" applyFill="1" applyBorder="1" applyAlignment="1" applyProtection="1">
      <alignment horizontal="center" vertical="center"/>
    </xf>
    <xf numFmtId="0" fontId="2" fillId="7" borderId="37" xfId="0" applyFont="1" applyFill="1" applyBorder="1" applyAlignment="1" applyProtection="1">
      <alignment horizontal="center" vertical="center"/>
      <protection locked="0"/>
    </xf>
    <xf numFmtId="0" fontId="150" fillId="17" borderId="23" xfId="0" applyNumberFormat="1" applyFont="1" applyFill="1" applyBorder="1" applyAlignment="1" applyProtection="1">
      <alignment horizontal="center"/>
      <protection locked="0"/>
    </xf>
    <xf numFmtId="0" fontId="2" fillId="6" borderId="58" xfId="0" applyFont="1" applyFill="1" applyBorder="1" applyAlignment="1" applyProtection="1">
      <alignment horizontal="center" vertical="center"/>
    </xf>
    <xf numFmtId="0" fontId="191" fillId="0" borderId="3" xfId="0" applyFont="1" applyFill="1" applyBorder="1" applyAlignment="1" applyProtection="1">
      <alignment horizontal="right"/>
    </xf>
    <xf numFmtId="49" fontId="197" fillId="0" borderId="16" xfId="0" applyNumberFormat="1" applyFont="1" applyFill="1" applyBorder="1" applyAlignment="1" applyProtection="1">
      <alignment horizontal="right"/>
    </xf>
    <xf numFmtId="0" fontId="67" fillId="0" borderId="5" xfId="0" applyFont="1" applyFill="1" applyBorder="1" applyAlignment="1" applyProtection="1">
      <alignment vertical="center"/>
    </xf>
    <xf numFmtId="49" fontId="67" fillId="0" borderId="28" xfId="0" applyNumberFormat="1" applyFont="1" applyFill="1" applyBorder="1" applyAlignment="1" applyProtection="1">
      <alignment vertical="center"/>
    </xf>
    <xf numFmtId="0" fontId="151" fillId="0" borderId="0" xfId="0" applyFont="1" applyFill="1" applyBorder="1" applyAlignment="1" applyProtection="1">
      <alignment horizontal="left" vertical="center"/>
    </xf>
    <xf numFmtId="0" fontId="92" fillId="9" borderId="4" xfId="0" applyFont="1" applyFill="1" applyBorder="1" applyAlignment="1" applyProtection="1">
      <alignment horizontal="left"/>
      <protection locked="0"/>
    </xf>
    <xf numFmtId="0" fontId="139" fillId="0" borderId="0" xfId="0" applyFont="1" applyFill="1" applyBorder="1" applyAlignment="1" applyProtection="1">
      <alignment horizontal="right" vertical="top"/>
    </xf>
    <xf numFmtId="0" fontId="14" fillId="12" borderId="16" xfId="0" applyNumberFormat="1" applyFont="1" applyFill="1" applyBorder="1" applyAlignment="1" applyProtection="1">
      <alignment horizontal="right" vertical="center"/>
    </xf>
    <xf numFmtId="0" fontId="2" fillId="12" borderId="16" xfId="0" applyFont="1" applyFill="1" applyBorder="1" applyAlignment="1" applyProtection="1">
      <alignment horizontal="right" vertical="center"/>
    </xf>
    <xf numFmtId="0" fontId="67" fillId="11" borderId="103" xfId="0" applyFont="1" applyFill="1" applyBorder="1" applyAlignment="1" applyProtection="1">
      <alignment vertical="center"/>
    </xf>
    <xf numFmtId="49" fontId="101" fillId="11" borderId="103" xfId="0" applyNumberFormat="1" applyFont="1" applyFill="1" applyBorder="1" applyAlignment="1" applyProtection="1">
      <alignment horizontal="left" vertical="center" wrapText="1"/>
    </xf>
    <xf numFmtId="0" fontId="170" fillId="11" borderId="103" xfId="0" applyFont="1" applyFill="1" applyBorder="1" applyAlignment="1" applyProtection="1">
      <alignment horizontal="center" vertical="center"/>
    </xf>
    <xf numFmtId="0" fontId="176" fillId="11" borderId="103" xfId="0" applyNumberFormat="1" applyFont="1" applyFill="1" applyBorder="1" applyAlignment="1" applyProtection="1">
      <alignment horizontal="left" vertical="center"/>
    </xf>
    <xf numFmtId="0" fontId="16" fillId="11" borderId="103" xfId="0" applyFont="1" applyFill="1" applyBorder="1" applyAlignment="1" applyProtection="1">
      <alignment vertical="center"/>
    </xf>
    <xf numFmtId="0" fontId="12" fillId="0" borderId="0" xfId="0" applyFont="1" applyFill="1" applyBorder="1" applyAlignment="1" applyProtection="1">
      <alignment horizontal="left" vertical="center" wrapText="1"/>
    </xf>
    <xf numFmtId="0" fontId="100" fillId="0" borderId="0" xfId="0" applyFont="1" applyFill="1" applyBorder="1" applyAlignment="1" applyProtection="1">
      <alignment horizontal="center" vertical="center"/>
    </xf>
    <xf numFmtId="0" fontId="14" fillId="0" borderId="131" xfId="0" applyFont="1" applyFill="1" applyBorder="1" applyAlignment="1" applyProtection="1">
      <alignment vertical="center"/>
    </xf>
    <xf numFmtId="0" fontId="183" fillId="0" borderId="0" xfId="0" applyFont="1" applyFill="1" applyBorder="1" applyAlignment="1" applyProtection="1">
      <alignment vertical="center"/>
    </xf>
    <xf numFmtId="0" fontId="181" fillId="0" borderId="0" xfId="0" applyFont="1" applyFill="1" applyBorder="1" applyAlignment="1" applyProtection="1">
      <alignment horizontal="center"/>
    </xf>
    <xf numFmtId="170" fontId="16" fillId="0" borderId="0" xfId="0" applyNumberFormat="1" applyFont="1" applyFill="1" applyBorder="1" applyAlignment="1" applyProtection="1">
      <alignment horizontal="center" vertical="center"/>
    </xf>
    <xf numFmtId="0" fontId="184" fillId="0" borderId="0" xfId="0" applyFont="1" applyFill="1" applyBorder="1" applyAlignment="1" applyProtection="1">
      <alignment horizontal="center" vertical="center"/>
    </xf>
    <xf numFmtId="0" fontId="202" fillId="12" borderId="18" xfId="0" applyFont="1" applyFill="1" applyBorder="1" applyAlignment="1" applyProtection="1">
      <alignment horizontal="left" vertical="center" wrapText="1"/>
    </xf>
    <xf numFmtId="0" fontId="202" fillId="12" borderId="18" xfId="0" applyFont="1" applyFill="1" applyBorder="1" applyAlignment="1" applyProtection="1">
      <alignment horizontal="left" vertical="center"/>
    </xf>
    <xf numFmtId="0" fontId="14" fillId="16" borderId="16" xfId="0" applyNumberFormat="1" applyFont="1" applyFill="1" applyBorder="1" applyAlignment="1" applyProtection="1">
      <alignment horizontal="right" vertical="center"/>
    </xf>
    <xf numFmtId="0" fontId="202" fillId="16" borderId="18" xfId="0" applyFont="1" applyFill="1" applyBorder="1" applyAlignment="1" applyProtection="1">
      <alignment horizontal="left" vertical="center" wrapText="1"/>
    </xf>
    <xf numFmtId="165" fontId="203" fillId="16" borderId="5" xfId="0" applyNumberFormat="1" applyFont="1" applyFill="1" applyBorder="1" applyAlignment="1" applyProtection="1">
      <alignment horizontal="left" vertical="center"/>
    </xf>
    <xf numFmtId="0" fontId="2" fillId="16" borderId="16" xfId="0" applyFont="1" applyFill="1" applyBorder="1" applyAlignment="1" applyProtection="1">
      <alignment horizontal="right" vertical="center"/>
    </xf>
    <xf numFmtId="0" fontId="67" fillId="0" borderId="8" xfId="0" applyFont="1" applyFill="1" applyBorder="1" applyAlignment="1" applyProtection="1">
      <alignment vertical="center"/>
    </xf>
    <xf numFmtId="0" fontId="154" fillId="0" borderId="0" xfId="0" applyFont="1" applyFill="1" applyBorder="1" applyAlignment="1" applyProtection="1">
      <alignment horizontal="center" vertical="center"/>
    </xf>
    <xf numFmtId="0" fontId="67" fillId="0" borderId="3" xfId="0" applyFont="1" applyFill="1" applyBorder="1" applyAlignment="1" applyProtection="1">
      <alignment vertical="center"/>
    </xf>
    <xf numFmtId="0" fontId="54" fillId="0" borderId="45" xfId="0" applyFont="1" applyFill="1" applyBorder="1" applyAlignment="1" applyProtection="1">
      <alignment vertical="center"/>
    </xf>
    <xf numFmtId="0" fontId="3" fillId="0" borderId="0" xfId="0" applyFont="1" applyAlignment="1" applyProtection="1">
      <alignment horizontal="left"/>
    </xf>
    <xf numFmtId="0" fontId="3" fillId="0" borderId="0" xfId="0" applyFont="1" applyAlignment="1" applyProtection="1">
      <alignment horizontal="left" vertical="top"/>
    </xf>
    <xf numFmtId="0" fontId="41" fillId="0" borderId="0" xfId="0" applyFont="1" applyAlignment="1" applyProtection="1">
      <alignment horizontal="left"/>
    </xf>
    <xf numFmtId="0" fontId="75" fillId="0" borderId="0" xfId="0" applyFont="1" applyFill="1" applyBorder="1" applyAlignment="1" applyProtection="1">
      <alignment horizontal="center" vertical="center"/>
    </xf>
    <xf numFmtId="0" fontId="190" fillId="13" borderId="14" xfId="0" applyFont="1" applyFill="1" applyBorder="1" applyAlignment="1" applyProtection="1">
      <alignment horizontal="center" vertical="center"/>
    </xf>
    <xf numFmtId="0" fontId="190" fillId="13" borderId="3" xfId="0" applyFont="1" applyFill="1" applyBorder="1" applyAlignment="1" applyProtection="1">
      <alignment horizontal="center" vertical="center"/>
    </xf>
    <xf numFmtId="0" fontId="190" fillId="13" borderId="2" xfId="0" applyFont="1" applyFill="1" applyBorder="1" applyAlignment="1" applyProtection="1">
      <alignment horizontal="center" vertical="center"/>
    </xf>
    <xf numFmtId="49" fontId="190" fillId="13" borderId="2" xfId="0" applyNumberFormat="1" applyFont="1" applyFill="1" applyBorder="1" applyAlignment="1" applyProtection="1">
      <alignment horizontal="center" vertical="center"/>
    </xf>
    <xf numFmtId="0" fontId="82" fillId="0" borderId="131" xfId="0" applyFont="1" applyFill="1" applyBorder="1" applyAlignment="1" applyProtection="1">
      <alignment horizontal="left" vertical="center" textRotation="90"/>
    </xf>
    <xf numFmtId="0" fontId="160" fillId="0" borderId="0"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105" fillId="0" borderId="24" xfId="0" applyFont="1" applyFill="1" applyBorder="1" applyAlignment="1" applyProtection="1">
      <alignment horizontal="right" vertical="center"/>
    </xf>
    <xf numFmtId="0" fontId="105" fillId="0" borderId="19" xfId="0" applyFont="1" applyFill="1" applyBorder="1" applyAlignment="1" applyProtection="1">
      <alignment horizontal="right" vertical="center"/>
    </xf>
    <xf numFmtId="0" fontId="46"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34" fillId="0" borderId="0" xfId="0" applyFont="1" applyFill="1" applyBorder="1" applyAlignment="1" applyProtection="1">
      <alignment vertical="center" wrapText="1"/>
    </xf>
    <xf numFmtId="0" fontId="67" fillId="0" borderId="40" xfId="0" applyFont="1" applyFill="1" applyBorder="1" applyAlignment="1" applyProtection="1">
      <alignment vertical="center"/>
    </xf>
    <xf numFmtId="0" fontId="97" fillId="0" borderId="21" xfId="0" applyFont="1" applyFill="1" applyBorder="1" applyAlignment="1" applyProtection="1">
      <alignment horizontal="left" vertical="center"/>
    </xf>
    <xf numFmtId="0" fontId="45" fillId="0" borderId="0" xfId="0" applyFont="1" applyFill="1" applyAlignment="1" applyProtection="1">
      <alignment horizontal="left" vertical="center"/>
    </xf>
    <xf numFmtId="0" fontId="105" fillId="0" borderId="24" xfId="0" applyFont="1" applyFill="1" applyBorder="1" applyAlignment="1" applyProtection="1">
      <alignment vertical="center"/>
    </xf>
    <xf numFmtId="0" fontId="198" fillId="0" borderId="0" xfId="0" applyFont="1" applyFill="1" applyBorder="1" applyAlignment="1" applyProtection="1">
      <alignment horizontal="left" vertical="center"/>
    </xf>
    <xf numFmtId="0" fontId="14" fillId="12" borderId="43" xfId="0" applyNumberFormat="1" applyFont="1" applyFill="1" applyBorder="1" applyAlignment="1" applyProtection="1">
      <alignment horizontal="right" vertical="center"/>
    </xf>
    <xf numFmtId="0" fontId="14" fillId="16" borderId="43" xfId="0" applyNumberFormat="1" applyFont="1" applyFill="1" applyBorder="1" applyAlignment="1" applyProtection="1">
      <alignment horizontal="right" vertical="center"/>
    </xf>
    <xf numFmtId="0" fontId="102" fillId="22" borderId="77" xfId="0" applyFont="1" applyFill="1" applyBorder="1" applyAlignment="1" applyProtection="1">
      <alignment horizontal="center" vertical="center" wrapText="1"/>
    </xf>
    <xf numFmtId="0" fontId="146" fillId="18" borderId="10" xfId="0" applyFont="1" applyFill="1" applyBorder="1" applyAlignment="1" applyProtection="1">
      <alignment horizontal="center" vertical="center"/>
    </xf>
    <xf numFmtId="49" fontId="146" fillId="18" borderId="9" xfId="0" applyNumberFormat="1" applyFont="1" applyFill="1" applyBorder="1" applyAlignment="1" applyProtection="1">
      <alignment horizontal="center" vertical="center"/>
    </xf>
    <xf numFmtId="0" fontId="97" fillId="0" borderId="21" xfId="0" applyFont="1" applyFill="1" applyBorder="1" applyAlignment="1" applyProtection="1">
      <alignment horizontal="center" vertical="center"/>
    </xf>
    <xf numFmtId="0" fontId="67" fillId="0" borderId="24" xfId="0" applyFont="1" applyFill="1" applyBorder="1" applyAlignment="1" applyProtection="1">
      <alignment vertical="center"/>
    </xf>
    <xf numFmtId="0" fontId="14" fillId="0" borderId="43" xfId="0" applyFont="1" applyFill="1" applyBorder="1" applyAlignment="1" applyProtection="1">
      <alignment horizontal="left" vertical="center"/>
    </xf>
    <xf numFmtId="0" fontId="106" fillId="16" borderId="24" xfId="0" applyFont="1" applyFill="1" applyBorder="1" applyAlignment="1" applyProtection="1">
      <alignment horizontal="right" vertical="center"/>
    </xf>
    <xf numFmtId="171" fontId="12" fillId="7" borderId="18" xfId="0" applyNumberFormat="1" applyFont="1" applyFill="1" applyBorder="1" applyAlignment="1" applyProtection="1">
      <alignment horizontal="center" vertical="center"/>
      <protection locked="0"/>
    </xf>
    <xf numFmtId="170" fontId="12" fillId="7" borderId="18" xfId="0" applyNumberFormat="1" applyFont="1" applyFill="1" applyBorder="1" applyAlignment="1" applyProtection="1">
      <alignment horizontal="center" vertical="center"/>
      <protection locked="0"/>
    </xf>
    <xf numFmtId="176" fontId="19" fillId="7" borderId="18" xfId="0" applyNumberFormat="1"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90" wrapText="1"/>
    </xf>
    <xf numFmtId="0" fontId="2" fillId="0" borderId="54" xfId="0" applyFont="1" applyFill="1" applyBorder="1" applyAlignment="1" applyProtection="1">
      <alignment horizontal="left" vertical="center"/>
    </xf>
    <xf numFmtId="0" fontId="70" fillId="0" borderId="5" xfId="0" applyFont="1" applyFill="1" applyBorder="1" applyAlignment="1" applyProtection="1">
      <alignment horizontal="center" vertical="center"/>
    </xf>
    <xf numFmtId="0" fontId="2" fillId="0" borderId="5" xfId="0" applyFont="1" applyFill="1" applyBorder="1" applyAlignment="1" applyProtection="1">
      <alignment horizontal="left" vertical="center" indent="1"/>
    </xf>
    <xf numFmtId="0" fontId="110" fillId="0" borderId="0" xfId="0" applyFont="1" applyAlignment="1" applyProtection="1">
      <alignment vertical="center"/>
    </xf>
    <xf numFmtId="49" fontId="9" fillId="0" borderId="0" xfId="0" applyNumberFormat="1" applyFont="1" applyFill="1" applyBorder="1" applyAlignment="1" applyProtection="1">
      <alignment horizontal="left" vertical="center"/>
    </xf>
    <xf numFmtId="0" fontId="19" fillId="6" borderId="178" xfId="0" applyFont="1" applyFill="1" applyBorder="1" applyAlignment="1" applyProtection="1">
      <alignment horizontal="center" vertical="center"/>
    </xf>
    <xf numFmtId="49" fontId="3" fillId="0" borderId="0" xfId="0" applyNumberFormat="1" applyFont="1" applyAlignment="1" applyProtection="1">
      <alignment horizontal="center" vertical="center"/>
    </xf>
    <xf numFmtId="0" fontId="16" fillId="0" borderId="31" xfId="0" applyFont="1" applyBorder="1" applyAlignment="1" applyProtection="1">
      <alignment horizontal="right" vertical="center"/>
    </xf>
    <xf numFmtId="0" fontId="89" fillId="0" borderId="31" xfId="0" applyFont="1" applyBorder="1" applyAlignment="1" applyProtection="1">
      <alignment horizontal="center" vertical="center"/>
    </xf>
    <xf numFmtId="0" fontId="54" fillId="0" borderId="21" xfId="0" applyFont="1" applyBorder="1" applyAlignment="1" applyProtection="1">
      <alignment horizontal="left" vertical="center"/>
    </xf>
    <xf numFmtId="0" fontId="15" fillId="0" borderId="4" xfId="0" applyFont="1" applyBorder="1" applyAlignment="1" applyProtection="1">
      <alignment vertical="center"/>
    </xf>
    <xf numFmtId="1" fontId="93" fillId="0" borderId="26" xfId="0" applyNumberFormat="1" applyFont="1" applyBorder="1" applyAlignment="1" applyProtection="1">
      <alignment horizontal="center" vertical="center"/>
    </xf>
    <xf numFmtId="0" fontId="54" fillId="0" borderId="27" xfId="0" applyFont="1" applyBorder="1" applyAlignment="1" applyProtection="1">
      <alignment horizontal="left" vertical="center"/>
    </xf>
    <xf numFmtId="0" fontId="15" fillId="0" borderId="22" xfId="0" applyFont="1" applyBorder="1" applyAlignment="1" applyProtection="1">
      <alignment vertical="center"/>
    </xf>
    <xf numFmtId="177" fontId="47" fillId="0" borderId="135" xfId="0" applyNumberFormat="1" applyFont="1" applyBorder="1" applyAlignment="1" applyProtection="1">
      <alignment horizontal="center" vertical="center"/>
    </xf>
    <xf numFmtId="181" fontId="47" fillId="0" borderId="19" xfId="0" applyNumberFormat="1" applyFont="1" applyBorder="1" applyAlignment="1" applyProtection="1">
      <alignment horizontal="left" vertical="center"/>
    </xf>
    <xf numFmtId="0" fontId="16" fillId="0" borderId="7" xfId="0" applyFont="1" applyBorder="1" applyAlignment="1" applyProtection="1">
      <alignment horizontal="right" vertical="center"/>
    </xf>
    <xf numFmtId="180" fontId="89" fillId="0" borderId="7" xfId="0" applyNumberFormat="1" applyFont="1" applyBorder="1" applyAlignment="1" applyProtection="1">
      <alignment horizontal="center" vertical="center"/>
    </xf>
    <xf numFmtId="181" fontId="89" fillId="0" borderId="11" xfId="0" applyNumberFormat="1" applyFont="1" applyBorder="1" applyAlignment="1" applyProtection="1">
      <alignment horizontal="left" vertical="center"/>
    </xf>
    <xf numFmtId="0" fontId="54" fillId="0" borderId="9" xfId="0" applyFont="1" applyBorder="1" applyAlignment="1" applyProtection="1">
      <alignment horizontal="left" vertical="center"/>
    </xf>
    <xf numFmtId="0" fontId="15" fillId="0" borderId="23" xfId="0" applyFont="1" applyBorder="1" applyAlignment="1" applyProtection="1">
      <alignment vertical="center"/>
    </xf>
    <xf numFmtId="0" fontId="16" fillId="0" borderId="19" xfId="0" applyFont="1" applyBorder="1" applyAlignment="1" applyProtection="1">
      <alignment horizontal="right" vertical="center"/>
    </xf>
    <xf numFmtId="164" fontId="93" fillId="0" borderId="31" xfId="0" applyNumberFormat="1" applyFont="1" applyBorder="1" applyAlignment="1" applyProtection="1">
      <alignment horizontal="center" vertical="center"/>
    </xf>
    <xf numFmtId="0" fontId="93" fillId="0" borderId="135" xfId="0" applyFont="1" applyBorder="1" applyAlignment="1" applyProtection="1">
      <alignment vertical="center"/>
    </xf>
    <xf numFmtId="0" fontId="16" fillId="0" borderId="8" xfId="0" applyFont="1" applyBorder="1" applyAlignment="1" applyProtection="1">
      <alignment horizontal="right" vertical="center"/>
    </xf>
    <xf numFmtId="0" fontId="47" fillId="0" borderId="7" xfId="0" applyFont="1" applyBorder="1" applyAlignment="1" applyProtection="1">
      <alignment horizontal="center" vertical="center"/>
    </xf>
    <xf numFmtId="0" fontId="47" fillId="0" borderId="25" xfId="0" applyFont="1" applyBorder="1" applyAlignment="1" applyProtection="1">
      <alignment vertical="center"/>
    </xf>
    <xf numFmtId="0" fontId="54" fillId="0" borderId="24" xfId="0" applyFont="1" applyBorder="1" applyAlignment="1" applyProtection="1">
      <alignment horizontal="left" vertical="center"/>
    </xf>
    <xf numFmtId="49" fontId="152" fillId="0" borderId="0" xfId="0" applyNumberFormat="1" applyFont="1" applyFill="1" applyBorder="1" applyAlignment="1" applyProtection="1">
      <alignment horizontal="center" vertical="center"/>
    </xf>
    <xf numFmtId="49" fontId="146" fillId="0" borderId="0" xfId="0" applyNumberFormat="1" applyFont="1" applyFill="1" applyBorder="1" applyAlignment="1" applyProtection="1">
      <alignment horizontal="center" vertical="center"/>
    </xf>
    <xf numFmtId="49" fontId="146" fillId="0" borderId="0" xfId="0" applyNumberFormat="1" applyFont="1" applyFill="1" applyBorder="1" applyAlignment="1" applyProtection="1">
      <alignment horizontal="center" vertical="center" wrapText="1"/>
    </xf>
    <xf numFmtId="49" fontId="101" fillId="0" borderId="0"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28" fillId="0" borderId="0" xfId="0" applyFont="1" applyFill="1" applyBorder="1" applyAlignment="1" applyProtection="1">
      <alignment vertical="center"/>
    </xf>
    <xf numFmtId="0" fontId="70"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6" fillId="0" borderId="0" xfId="0" applyFont="1" applyFill="1" applyBorder="1" applyProtection="1"/>
    <xf numFmtId="0" fontId="153" fillId="0" borderId="0" xfId="0"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67" fillId="7" borderId="3" xfId="0" applyFont="1" applyFill="1" applyBorder="1" applyAlignment="1" applyProtection="1">
      <alignment vertical="center"/>
      <protection locked="0"/>
    </xf>
    <xf numFmtId="0" fontId="67" fillId="7" borderId="0" xfId="0" applyFont="1" applyFill="1" applyBorder="1" applyAlignment="1" applyProtection="1">
      <alignment vertical="center"/>
      <protection locked="0"/>
    </xf>
    <xf numFmtId="176" fontId="93" fillId="7" borderId="180" xfId="0" applyNumberFormat="1" applyFont="1" applyFill="1" applyBorder="1" applyAlignment="1" applyProtection="1">
      <alignment horizontal="center" vertical="center"/>
      <protection locked="0"/>
    </xf>
    <xf numFmtId="0" fontId="14" fillId="7" borderId="93" xfId="0" applyFont="1" applyFill="1" applyBorder="1" applyAlignment="1" applyProtection="1">
      <alignment horizontal="center" vertical="center"/>
      <protection locked="0"/>
    </xf>
    <xf numFmtId="0" fontId="135" fillId="11" borderId="171" xfId="0" applyFont="1" applyFill="1" applyBorder="1" applyAlignment="1" applyProtection="1">
      <alignment vertical="center"/>
    </xf>
    <xf numFmtId="0" fontId="15" fillId="16" borderId="44" xfId="0" applyFont="1" applyFill="1" applyBorder="1" applyAlignment="1" applyProtection="1">
      <alignment vertical="center"/>
    </xf>
    <xf numFmtId="0" fontId="81" fillId="0" borderId="45" xfId="0" applyFont="1" applyFill="1" applyBorder="1" applyAlignment="1" applyProtection="1">
      <alignment horizontal="center" vertical="center"/>
    </xf>
    <xf numFmtId="0" fontId="4" fillId="0" borderId="45" xfId="0" applyFont="1" applyFill="1" applyBorder="1" applyAlignment="1" applyProtection="1">
      <alignment horizontal="left" vertical="center" wrapText="1"/>
    </xf>
    <xf numFmtId="0" fontId="71" fillId="0" borderId="0" xfId="0" applyFont="1" applyFill="1" applyBorder="1" applyAlignment="1" applyProtection="1">
      <alignment horizontal="left" vertical="center"/>
    </xf>
    <xf numFmtId="0" fontId="104" fillId="0" borderId="51" xfId="0" applyFont="1" applyFill="1" applyBorder="1" applyAlignment="1" applyProtection="1">
      <alignment horizontal="left" vertical="center"/>
    </xf>
    <xf numFmtId="0" fontId="78" fillId="0" borderId="0" xfId="0" applyFont="1" applyFill="1" applyBorder="1" applyAlignment="1" applyProtection="1">
      <alignment horizontal="center" vertical="center"/>
    </xf>
    <xf numFmtId="0" fontId="205" fillId="0" borderId="0" xfId="0" applyFont="1" applyFill="1" applyBorder="1" applyAlignment="1" applyProtection="1">
      <alignment horizontal="left" vertical="center"/>
    </xf>
    <xf numFmtId="0" fontId="70" fillId="0" borderId="135" xfId="0" applyFont="1" applyBorder="1" applyAlignment="1" applyProtection="1">
      <alignment horizontal="right" vertical="center" wrapText="1"/>
    </xf>
    <xf numFmtId="0" fontId="70" fillId="0" borderId="26" xfId="0" applyFont="1" applyBorder="1" applyAlignment="1" applyProtection="1">
      <alignment horizontal="right" vertical="center" wrapText="1"/>
    </xf>
    <xf numFmtId="0" fontId="16" fillId="0" borderId="110" xfId="0" applyFont="1" applyFill="1" applyBorder="1" applyAlignment="1" applyProtection="1">
      <alignment horizontal="center" vertical="center"/>
    </xf>
    <xf numFmtId="0" fontId="172" fillId="0" borderId="3" xfId="0" applyFont="1" applyBorder="1" applyAlignment="1" applyProtection="1">
      <alignment horizontal="right" vertical="center"/>
    </xf>
    <xf numFmtId="0" fontId="54" fillId="7" borderId="94" xfId="0" applyFont="1" applyFill="1" applyBorder="1" applyAlignment="1" applyProtection="1">
      <alignment horizontal="center" vertical="center"/>
      <protection locked="0"/>
    </xf>
    <xf numFmtId="0" fontId="12" fillId="10" borderId="111" xfId="0" applyFont="1" applyFill="1" applyBorder="1" applyAlignment="1" applyProtection="1">
      <alignment horizontal="center" vertical="center"/>
      <protection locked="0"/>
    </xf>
    <xf numFmtId="0" fontId="15" fillId="0" borderId="3" xfId="0" applyFont="1" applyBorder="1" applyAlignment="1" applyProtection="1">
      <alignment vertical="center"/>
    </xf>
    <xf numFmtId="170" fontId="47" fillId="7" borderId="1" xfId="0" applyNumberFormat="1" applyFont="1" applyFill="1" applyBorder="1" applyAlignment="1" applyProtection="1">
      <alignment horizontal="center" vertical="center"/>
      <protection locked="0"/>
    </xf>
    <xf numFmtId="165" fontId="211" fillId="12" borderId="16" xfId="0" applyNumberFormat="1" applyFont="1" applyFill="1" applyBorder="1" applyAlignment="1" applyProtection="1">
      <alignment horizontal="center" vertical="center"/>
    </xf>
    <xf numFmtId="0" fontId="202" fillId="12" borderId="16" xfId="0" applyFont="1" applyFill="1" applyBorder="1" applyAlignment="1" applyProtection="1">
      <alignment horizontal="left" vertical="center"/>
    </xf>
    <xf numFmtId="0" fontId="211" fillId="12" borderId="16" xfId="0" applyFont="1" applyFill="1" applyBorder="1" applyAlignment="1" applyProtection="1">
      <alignment horizontal="center" vertical="center"/>
    </xf>
    <xf numFmtId="0" fontId="15" fillId="7" borderId="0" xfId="0" applyFont="1" applyFill="1" applyBorder="1" applyAlignment="1" applyProtection="1">
      <alignment horizontal="left"/>
      <protection locked="0"/>
    </xf>
    <xf numFmtId="0" fontId="191" fillId="0" borderId="0" xfId="0" applyFont="1" applyFill="1" applyBorder="1" applyAlignment="1" applyProtection="1">
      <alignment horizontal="right"/>
    </xf>
    <xf numFmtId="0" fontId="2" fillId="0" borderId="131" xfId="0" applyFont="1" applyFill="1" applyBorder="1" applyAlignment="1" applyProtection="1">
      <alignment horizontal="left"/>
    </xf>
    <xf numFmtId="0" fontId="2" fillId="4" borderId="8" xfId="0" applyFont="1" applyFill="1" applyBorder="1" applyAlignment="1" applyProtection="1">
      <alignment vertical="center"/>
    </xf>
    <xf numFmtId="0" fontId="16" fillId="0" borderId="54" xfId="0" applyFont="1" applyFill="1" applyBorder="1" applyAlignment="1" applyProtection="1">
      <alignment vertical="center" wrapText="1"/>
    </xf>
    <xf numFmtId="0" fontId="70" fillId="0" borderId="12" xfId="0" applyFont="1" applyFill="1" applyBorder="1" applyAlignment="1" applyProtection="1">
      <alignment horizontal="center" vertical="center" wrapText="1"/>
      <protection locked="0"/>
    </xf>
    <xf numFmtId="0" fontId="86" fillId="0" borderId="0" xfId="0" applyFont="1" applyFill="1" applyAlignment="1" applyProtection="1">
      <alignment horizontal="right" vertical="center"/>
    </xf>
    <xf numFmtId="0" fontId="67" fillId="0" borderId="0" xfId="0" applyFont="1" applyFill="1" applyAlignment="1" applyProtection="1">
      <alignment horizontal="right" vertical="center"/>
    </xf>
    <xf numFmtId="0" fontId="15" fillId="0" borderId="0" xfId="0" applyFont="1" applyFill="1" applyAlignment="1" applyProtection="1">
      <alignment horizontal="right" vertical="center"/>
    </xf>
    <xf numFmtId="0" fontId="12"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49" fontId="3" fillId="0" borderId="0" xfId="0" applyNumberFormat="1" applyFont="1" applyAlignment="1" applyProtection="1">
      <alignment horizontal="right" vertical="center"/>
    </xf>
    <xf numFmtId="49" fontId="105" fillId="0" borderId="0" xfId="0" applyNumberFormat="1" applyFont="1" applyAlignment="1" applyProtection="1">
      <alignment horizontal="right" vertical="center"/>
    </xf>
    <xf numFmtId="0" fontId="98" fillId="0" borderId="0" xfId="0" applyFont="1" applyFill="1" applyAlignment="1" applyProtection="1">
      <alignment horizontal="left" vertical="center" textRotation="90" wrapText="1"/>
    </xf>
    <xf numFmtId="0" fontId="131" fillId="0" borderId="114" xfId="0" applyFont="1" applyFill="1" applyBorder="1" applyAlignment="1" applyProtection="1">
      <alignment horizontal="left" vertical="center" wrapText="1"/>
    </xf>
    <xf numFmtId="0" fontId="131" fillId="0" borderId="24" xfId="0" applyFont="1" applyFill="1" applyBorder="1" applyAlignment="1" applyProtection="1">
      <alignment horizontal="left" vertical="center" wrapText="1"/>
    </xf>
    <xf numFmtId="0" fontId="131" fillId="0" borderId="62" xfId="0" applyFont="1" applyFill="1" applyBorder="1" applyAlignment="1" applyProtection="1">
      <alignment horizontal="left"/>
    </xf>
    <xf numFmtId="0" fontId="131" fillId="0" borderId="27" xfId="0" applyFont="1" applyFill="1" applyBorder="1" applyAlignment="1" applyProtection="1">
      <alignment horizontal="center" vertical="top"/>
    </xf>
    <xf numFmtId="0" fontId="215" fillId="0" borderId="44" xfId="0" applyFont="1" applyFill="1" applyBorder="1" applyAlignment="1" applyProtection="1">
      <alignment vertical="center"/>
    </xf>
    <xf numFmtId="0" fontId="215" fillId="0" borderId="24" xfId="0" applyFont="1" applyFill="1" applyBorder="1" applyAlignment="1" applyProtection="1">
      <alignment vertical="center"/>
    </xf>
    <xf numFmtId="0" fontId="217" fillId="0" borderId="0" xfId="0" applyFont="1" applyFill="1" applyBorder="1" applyAlignment="1" applyProtection="1">
      <alignment vertical="center"/>
    </xf>
    <xf numFmtId="0" fontId="218" fillId="0" borderId="22" xfId="0" applyFont="1" applyFill="1" applyBorder="1" applyAlignment="1" applyProtection="1">
      <alignment horizontal="center" vertical="center"/>
    </xf>
    <xf numFmtId="0" fontId="220" fillId="13" borderId="55" xfId="0" applyFont="1" applyFill="1" applyBorder="1" applyAlignment="1" applyProtection="1">
      <alignment horizontal="center"/>
    </xf>
    <xf numFmtId="0" fontId="220" fillId="13" borderId="22" xfId="0" applyFont="1" applyFill="1" applyBorder="1" applyAlignment="1" applyProtection="1">
      <alignment horizontal="center"/>
    </xf>
    <xf numFmtId="0" fontId="223" fillId="0" borderId="136" xfId="0" applyFont="1" applyFill="1" applyBorder="1" applyAlignment="1" applyProtection="1">
      <alignment horizontal="center" vertical="center" wrapText="1"/>
    </xf>
    <xf numFmtId="0" fontId="222" fillId="0" borderId="140" xfId="0" applyFont="1" applyFill="1" applyBorder="1" applyAlignment="1" applyProtection="1">
      <alignment horizontal="right" vertical="center"/>
    </xf>
    <xf numFmtId="0" fontId="219" fillId="0" borderId="10" xfId="0" applyFont="1" applyFill="1" applyBorder="1" applyAlignment="1" applyProtection="1">
      <alignment horizontal="center" vertical="center"/>
    </xf>
    <xf numFmtId="0" fontId="219" fillId="0" borderId="31" xfId="0" applyFont="1" applyFill="1" applyBorder="1" applyAlignment="1" applyProtection="1">
      <alignment horizontal="center" vertical="center"/>
    </xf>
    <xf numFmtId="0" fontId="223" fillId="0" borderId="12" xfId="0" applyFont="1" applyFill="1" applyBorder="1" applyAlignment="1" applyProtection="1">
      <alignment horizontal="center" vertical="center" wrapText="1"/>
    </xf>
    <xf numFmtId="176" fontId="223" fillId="0" borderId="4" xfId="0" applyNumberFormat="1" applyFont="1" applyFill="1" applyBorder="1" applyAlignment="1" applyProtection="1">
      <alignment horizontal="center" vertical="center"/>
    </xf>
    <xf numFmtId="0" fontId="215" fillId="0" borderId="0" xfId="0" applyFont="1" applyFill="1" applyBorder="1" applyAlignment="1" applyProtection="1">
      <alignment vertical="center"/>
    </xf>
    <xf numFmtId="0" fontId="222" fillId="0" borderId="24" xfId="0" applyFont="1" applyFill="1" applyBorder="1" applyAlignment="1" applyProtection="1">
      <alignment horizontal="right" vertical="center"/>
    </xf>
    <xf numFmtId="1" fontId="225" fillId="0" borderId="9" xfId="0" applyNumberFormat="1" applyFont="1" applyFill="1" applyBorder="1" applyAlignment="1" applyProtection="1">
      <alignment horizontal="center" vertical="center"/>
    </xf>
    <xf numFmtId="1" fontId="219" fillId="0" borderId="26" xfId="0" applyNumberFormat="1" applyFont="1" applyFill="1" applyBorder="1" applyAlignment="1" applyProtection="1">
      <alignment horizontal="center" vertical="center"/>
    </xf>
    <xf numFmtId="0" fontId="223" fillId="0" borderId="7" xfId="0" applyFont="1" applyFill="1" applyBorder="1" applyAlignment="1" applyProtection="1">
      <alignment horizontal="center" vertical="center"/>
    </xf>
    <xf numFmtId="164" fontId="223" fillId="0" borderId="23" xfId="0" applyNumberFormat="1" applyFont="1" applyFill="1" applyBorder="1" applyAlignment="1" applyProtection="1">
      <alignment horizontal="center" vertical="center"/>
    </xf>
    <xf numFmtId="0" fontId="226" fillId="0" borderId="0" xfId="0" applyNumberFormat="1" applyFont="1" applyFill="1" applyBorder="1" applyAlignment="1" applyProtection="1">
      <alignment horizontal="left" vertical="center"/>
    </xf>
    <xf numFmtId="0" fontId="219" fillId="0" borderId="14" xfId="0" applyFont="1" applyFill="1" applyBorder="1" applyAlignment="1" applyProtection="1">
      <alignment horizontal="center" vertical="center"/>
    </xf>
    <xf numFmtId="0" fontId="219" fillId="0" borderId="2" xfId="0" applyFont="1" applyFill="1" applyBorder="1" applyAlignment="1" applyProtection="1">
      <alignment horizontal="center" vertical="center"/>
    </xf>
    <xf numFmtId="0" fontId="227" fillId="0" borderId="21" xfId="0" applyFont="1" applyFill="1" applyBorder="1" applyAlignment="1" applyProtection="1">
      <alignment horizontal="center" vertical="center"/>
    </xf>
    <xf numFmtId="0" fontId="223" fillId="0" borderId="4" xfId="0" applyFont="1" applyFill="1" applyBorder="1" applyAlignment="1" applyProtection="1">
      <alignment vertical="center"/>
    </xf>
    <xf numFmtId="0" fontId="228" fillId="0" borderId="0" xfId="0" applyFont="1" applyFill="1" applyAlignment="1" applyProtection="1">
      <alignment vertical="center"/>
    </xf>
    <xf numFmtId="0" fontId="229" fillId="0" borderId="0" xfId="0" applyFont="1" applyFill="1" applyAlignment="1" applyProtection="1">
      <alignment vertical="center"/>
    </xf>
    <xf numFmtId="0" fontId="223" fillId="0" borderId="13" xfId="0" applyFont="1" applyFill="1" applyBorder="1" applyAlignment="1" applyProtection="1">
      <alignment vertical="center"/>
    </xf>
    <xf numFmtId="0" fontId="217" fillId="0" borderId="0" xfId="0" applyFont="1" applyFill="1" applyAlignment="1" applyProtection="1">
      <alignment vertical="center"/>
    </xf>
    <xf numFmtId="0" fontId="222" fillId="0" borderId="7" xfId="0" applyFont="1" applyFill="1" applyBorder="1" applyAlignment="1" applyProtection="1">
      <alignment horizontal="right" vertical="center"/>
    </xf>
    <xf numFmtId="0" fontId="225" fillId="0" borderId="9" xfId="0" applyFont="1" applyFill="1" applyBorder="1" applyAlignment="1" applyProtection="1">
      <alignment horizontal="center" vertical="center"/>
    </xf>
    <xf numFmtId="0" fontId="219" fillId="0" borderId="7" xfId="0" applyFont="1" applyFill="1" applyBorder="1" applyAlignment="1" applyProtection="1">
      <alignment horizontal="center" vertical="center"/>
    </xf>
    <xf numFmtId="0" fontId="229" fillId="0" borderId="8" xfId="0" applyFont="1" applyFill="1" applyBorder="1" applyAlignment="1" applyProtection="1">
      <alignment horizontal="left" vertical="center"/>
    </xf>
    <xf numFmtId="0" fontId="223" fillId="0" borderId="23" xfId="0" applyFont="1" applyFill="1" applyBorder="1" applyAlignment="1" applyProtection="1">
      <alignment horizontal="left" vertical="center"/>
    </xf>
    <xf numFmtId="0" fontId="222" fillId="0" borderId="19" xfId="0" applyFont="1" applyFill="1" applyBorder="1" applyAlignment="1" applyProtection="1">
      <alignment horizontal="right" vertical="center"/>
    </xf>
    <xf numFmtId="0" fontId="219" fillId="0" borderId="21" xfId="0" applyFont="1" applyFill="1" applyBorder="1" applyAlignment="1" applyProtection="1">
      <alignment horizontal="center" vertical="center"/>
    </xf>
    <xf numFmtId="0" fontId="229" fillId="0" borderId="3" xfId="0" applyFont="1" applyFill="1" applyBorder="1" applyAlignment="1" applyProtection="1">
      <alignment horizontal="left" vertical="center"/>
    </xf>
    <xf numFmtId="0" fontId="222" fillId="0" borderId="12" xfId="0" applyFont="1" applyFill="1" applyBorder="1" applyAlignment="1" applyProtection="1">
      <alignment horizontal="right" vertical="center"/>
    </xf>
    <xf numFmtId="0" fontId="219" fillId="0" borderId="1" xfId="0" applyFont="1" applyFill="1" applyBorder="1" applyAlignment="1" applyProtection="1">
      <alignment horizontal="center" vertical="center"/>
    </xf>
    <xf numFmtId="0" fontId="229" fillId="0" borderId="0" xfId="0" applyFont="1" applyFill="1" applyAlignment="1" applyProtection="1">
      <alignment horizontal="left" vertical="center"/>
    </xf>
    <xf numFmtId="0" fontId="231" fillId="0" borderId="13" xfId="0" applyFont="1" applyFill="1" applyBorder="1" applyAlignment="1" applyProtection="1">
      <alignment horizontal="left" vertical="center"/>
    </xf>
    <xf numFmtId="0" fontId="215" fillId="0" borderId="0" xfId="0" applyFont="1" applyFill="1" applyAlignment="1" applyProtection="1">
      <alignment vertical="center"/>
    </xf>
    <xf numFmtId="0" fontId="222" fillId="0" borderId="11" xfId="0" applyFont="1" applyFill="1" applyBorder="1" applyAlignment="1" applyProtection="1">
      <alignment horizontal="right" vertical="center"/>
    </xf>
    <xf numFmtId="0" fontId="225" fillId="9" borderId="7" xfId="0" applyFont="1" applyFill="1" applyBorder="1" applyAlignment="1" applyProtection="1">
      <alignment horizontal="center" vertical="center"/>
      <protection locked="0"/>
    </xf>
    <xf numFmtId="0" fontId="223" fillId="0" borderId="8" xfId="0" applyFont="1" applyFill="1" applyBorder="1" applyAlignment="1" applyProtection="1">
      <alignment vertical="center"/>
    </xf>
    <xf numFmtId="0" fontId="233" fillId="0" borderId="23" xfId="0" applyFont="1" applyFill="1" applyBorder="1" applyAlignment="1" applyProtection="1">
      <alignment horizontal="right" vertical="center"/>
    </xf>
    <xf numFmtId="0" fontId="219" fillId="0" borderId="2" xfId="0" applyFont="1" applyFill="1" applyBorder="1" applyAlignment="1" applyProtection="1">
      <alignment vertical="center"/>
    </xf>
    <xf numFmtId="0" fontId="223" fillId="0" borderId="3" xfId="0" applyFont="1" applyFill="1" applyBorder="1" applyAlignment="1" applyProtection="1">
      <alignment horizontal="left" vertical="center"/>
    </xf>
    <xf numFmtId="0" fontId="223" fillId="0" borderId="18" xfId="0" applyFont="1" applyFill="1" applyBorder="1" applyAlignment="1" applyProtection="1">
      <alignment horizontal="left" vertical="center"/>
    </xf>
    <xf numFmtId="0" fontId="219" fillId="0" borderId="1" xfId="0" applyFont="1" applyFill="1" applyBorder="1" applyAlignment="1" applyProtection="1">
      <alignment vertical="center"/>
    </xf>
    <xf numFmtId="0" fontId="223" fillId="0" borderId="5" xfId="0" applyFont="1" applyFill="1" applyBorder="1" applyAlignment="1" applyProtection="1">
      <alignment vertical="center"/>
    </xf>
    <xf numFmtId="0" fontId="223" fillId="0" borderId="13" xfId="0" applyFont="1" applyFill="1" applyBorder="1" applyAlignment="1" applyProtection="1">
      <alignment horizontal="left" vertical="center"/>
    </xf>
    <xf numFmtId="0" fontId="223" fillId="0" borderId="8" xfId="0" applyFont="1" applyFill="1" applyBorder="1" applyAlignment="1" applyProtection="1">
      <alignment horizontal="left" vertical="center"/>
    </xf>
    <xf numFmtId="0" fontId="222" fillId="0" borderId="25" xfId="0" applyFont="1" applyFill="1" applyBorder="1" applyAlignment="1" applyProtection="1">
      <alignment horizontal="right" vertical="center"/>
    </xf>
    <xf numFmtId="0" fontId="219" fillId="0" borderId="27" xfId="0" applyFont="1" applyFill="1" applyBorder="1" applyAlignment="1" applyProtection="1">
      <alignment horizontal="center" vertical="center"/>
    </xf>
    <xf numFmtId="0" fontId="225" fillId="0" borderId="26" xfId="0" applyFont="1" applyFill="1" applyBorder="1" applyAlignment="1" applyProtection="1">
      <alignment horizontal="center" vertical="center"/>
    </xf>
    <xf numFmtId="0" fontId="229" fillId="0" borderId="20" xfId="0" applyFont="1" applyFill="1" applyBorder="1" applyAlignment="1" applyProtection="1">
      <alignment horizontal="center" vertical="center"/>
    </xf>
    <xf numFmtId="0" fontId="229" fillId="0" borderId="37" xfId="0" applyFont="1" applyFill="1" applyBorder="1" applyAlignment="1" applyProtection="1">
      <alignment horizontal="left" vertical="center"/>
    </xf>
    <xf numFmtId="0" fontId="219" fillId="0" borderId="31" xfId="0" applyFont="1" applyFill="1" applyBorder="1" applyAlignment="1" applyProtection="1">
      <alignment horizontal="right" vertical="center"/>
    </xf>
    <xf numFmtId="0" fontId="225" fillId="0" borderId="31" xfId="0" applyNumberFormat="1" applyFont="1" applyFill="1" applyBorder="1" applyAlignment="1" applyProtection="1">
      <alignment horizontal="center" vertical="center"/>
    </xf>
    <xf numFmtId="0" fontId="219" fillId="0" borderId="31" xfId="0" applyNumberFormat="1" applyFont="1" applyFill="1" applyBorder="1" applyAlignment="1" applyProtection="1">
      <alignment horizontal="center" vertical="center"/>
    </xf>
    <xf numFmtId="0" fontId="219" fillId="0" borderId="4" xfId="0" applyFont="1" applyFill="1" applyBorder="1" applyAlignment="1" applyProtection="1">
      <alignment horizontal="left" vertical="center"/>
    </xf>
    <xf numFmtId="0" fontId="228" fillId="0" borderId="0" xfId="0" applyFont="1" applyFill="1" applyAlignment="1" applyProtection="1">
      <alignment vertical="center" wrapText="1"/>
    </xf>
    <xf numFmtId="0" fontId="219" fillId="0" borderId="25" xfId="0" applyFont="1" applyFill="1" applyBorder="1" applyAlignment="1" applyProtection="1">
      <alignment horizontal="right" vertical="center"/>
    </xf>
    <xf numFmtId="0" fontId="219" fillId="0" borderId="26" xfId="0" applyFont="1" applyFill="1" applyBorder="1" applyAlignment="1" applyProtection="1">
      <alignment horizontal="center" vertical="center"/>
    </xf>
    <xf numFmtId="0" fontId="219" fillId="0" borderId="26" xfId="0" applyFont="1" applyFill="1" applyBorder="1" applyAlignment="1" applyProtection="1">
      <alignment vertical="center"/>
    </xf>
    <xf numFmtId="0" fontId="223" fillId="0" borderId="24" xfId="0" applyFont="1" applyFill="1" applyBorder="1" applyAlignment="1" applyProtection="1">
      <alignment horizontal="left" vertical="center"/>
    </xf>
    <xf numFmtId="0" fontId="222" fillId="0" borderId="22" xfId="0" applyFont="1" applyFill="1" applyBorder="1" applyAlignment="1" applyProtection="1">
      <alignment horizontal="left" vertical="center"/>
    </xf>
    <xf numFmtId="0" fontId="234" fillId="0" borderId="140" xfId="0" applyFont="1" applyFill="1" applyBorder="1" applyAlignment="1" applyProtection="1">
      <alignment horizontal="center" vertical="center"/>
    </xf>
    <xf numFmtId="0" fontId="235" fillId="0" borderId="3" xfId="0" applyFont="1" applyFill="1" applyBorder="1" applyAlignment="1" applyProtection="1">
      <alignment horizontal="right" vertical="center"/>
    </xf>
    <xf numFmtId="0" fontId="225" fillId="0" borderId="31" xfId="0" applyFont="1" applyFill="1" applyBorder="1" applyAlignment="1" applyProtection="1">
      <alignment horizontal="center" vertical="center"/>
    </xf>
    <xf numFmtId="0" fontId="227" fillId="0" borderId="3" xfId="0" applyFont="1" applyFill="1" applyBorder="1" applyAlignment="1" applyProtection="1">
      <alignment horizontal="left" vertical="center"/>
    </xf>
    <xf numFmtId="0" fontId="227" fillId="0" borderId="94" xfId="0" applyFont="1" applyFill="1" applyBorder="1" applyAlignment="1" applyProtection="1">
      <alignment horizontal="left" vertical="center"/>
    </xf>
    <xf numFmtId="0" fontId="215" fillId="0" borderId="46" xfId="0" applyFont="1" applyFill="1" applyBorder="1" applyAlignment="1" applyProtection="1">
      <alignment vertical="center"/>
    </xf>
    <xf numFmtId="0" fontId="236" fillId="0" borderId="1" xfId="0" applyFont="1" applyFill="1" applyBorder="1" applyAlignment="1" applyProtection="1">
      <alignment vertical="center"/>
    </xf>
    <xf numFmtId="0" fontId="236" fillId="0" borderId="121" xfId="0" applyFont="1" applyFill="1" applyBorder="1" applyAlignment="1" applyProtection="1">
      <alignment vertical="center"/>
    </xf>
    <xf numFmtId="0" fontId="219" fillId="0" borderId="46" xfId="0" applyFont="1" applyFill="1" applyBorder="1" applyAlignment="1" applyProtection="1">
      <alignment vertical="center"/>
    </xf>
    <xf numFmtId="0" fontId="215" fillId="0" borderId="12" xfId="0" applyFont="1" applyFill="1" applyBorder="1" applyAlignment="1" applyProtection="1">
      <alignment vertical="center"/>
    </xf>
    <xf numFmtId="0" fontId="227" fillId="0" borderId="134" xfId="0" applyFont="1" applyFill="1" applyBorder="1" applyAlignment="1" applyProtection="1">
      <alignment horizontal="left" vertical="center"/>
    </xf>
    <xf numFmtId="0" fontId="234" fillId="0" borderId="46" xfId="0" applyFont="1" applyFill="1" applyBorder="1" applyAlignment="1" applyProtection="1">
      <alignment horizontal="center" vertical="center"/>
    </xf>
    <xf numFmtId="0" fontId="234" fillId="0" borderId="46" xfId="0" applyFont="1" applyFill="1" applyBorder="1" applyAlignment="1" applyProtection="1">
      <alignment horizontal="right" vertical="center"/>
    </xf>
    <xf numFmtId="0" fontId="227" fillId="0" borderId="0" xfId="0" applyFont="1" applyFill="1" applyBorder="1" applyAlignment="1" applyProtection="1">
      <alignment horizontal="left" vertical="center"/>
    </xf>
    <xf numFmtId="0" fontId="222" fillId="0" borderId="28" xfId="0" applyFont="1" applyFill="1" applyBorder="1" applyAlignment="1" applyProtection="1">
      <alignment horizontal="left" vertical="center"/>
    </xf>
    <xf numFmtId="0" fontId="222" fillId="0" borderId="29" xfId="0" applyFont="1" applyFill="1" applyBorder="1" applyAlignment="1" applyProtection="1">
      <alignment horizontal="right" vertical="center"/>
    </xf>
    <xf numFmtId="165" fontId="219" fillId="0" borderId="20" xfId="0" applyNumberFormat="1" applyFont="1" applyFill="1" applyBorder="1" applyAlignment="1" applyProtection="1">
      <alignment horizontal="center" vertical="center"/>
    </xf>
    <xf numFmtId="0" fontId="219" fillId="0" borderId="17" xfId="0" applyFont="1" applyFill="1" applyBorder="1" applyAlignment="1" applyProtection="1">
      <alignment vertical="center"/>
    </xf>
    <xf numFmtId="0" fontId="222" fillId="0" borderId="37" xfId="0" applyFont="1" applyFill="1" applyBorder="1" applyAlignment="1" applyProtection="1">
      <alignment horizontal="left" vertical="center"/>
    </xf>
    <xf numFmtId="0" fontId="219" fillId="0" borderId="31" xfId="0" applyFont="1" applyFill="1" applyBorder="1" applyAlignment="1" applyProtection="1">
      <alignment vertical="center"/>
    </xf>
    <xf numFmtId="0" fontId="238" fillId="0" borderId="0" xfId="0" applyFont="1" applyFill="1" applyBorder="1" applyAlignment="1" applyProtection="1">
      <alignment vertical="center"/>
    </xf>
    <xf numFmtId="0" fontId="238" fillId="0" borderId="18" xfId="0" applyFont="1" applyFill="1" applyBorder="1" applyAlignment="1" applyProtection="1">
      <alignment vertical="center"/>
    </xf>
    <xf numFmtId="0" fontId="234" fillId="0" borderId="25" xfId="0" applyFont="1" applyFill="1" applyBorder="1" applyAlignment="1" applyProtection="1">
      <alignment horizontal="center" vertical="center"/>
    </xf>
    <xf numFmtId="0" fontId="224" fillId="0" borderId="25" xfId="0" applyFont="1" applyFill="1" applyBorder="1" applyAlignment="1" applyProtection="1">
      <alignment horizontal="right" vertical="center"/>
    </xf>
    <xf numFmtId="166" fontId="219" fillId="0" borderId="8" xfId="0" applyNumberFormat="1" applyFont="1" applyFill="1" applyBorder="1" applyAlignment="1" applyProtection="1">
      <alignment horizontal="left" vertical="center"/>
    </xf>
    <xf numFmtId="0" fontId="219" fillId="0" borderId="23" xfId="0" applyFont="1" applyFill="1" applyBorder="1" applyAlignment="1" applyProtection="1">
      <alignment horizontal="left" vertical="center"/>
    </xf>
    <xf numFmtId="0" fontId="239" fillId="0" borderId="0" xfId="0" applyFont="1" applyFill="1" applyAlignment="1" applyProtection="1">
      <alignment vertical="center"/>
    </xf>
    <xf numFmtId="0" fontId="219" fillId="0" borderId="19" xfId="0" applyFont="1" applyFill="1" applyBorder="1" applyAlignment="1" applyProtection="1">
      <alignment horizontal="right" vertical="center"/>
    </xf>
    <xf numFmtId="0" fontId="219" fillId="0" borderId="3" xfId="0" applyFont="1" applyFill="1" applyBorder="1" applyAlignment="1" applyProtection="1">
      <alignment horizontal="center" vertical="center"/>
    </xf>
    <xf numFmtId="0" fontId="236" fillId="0" borderId="0" xfId="0" applyFont="1" applyFill="1" applyAlignment="1" applyProtection="1">
      <alignment vertical="center"/>
    </xf>
    <xf numFmtId="0" fontId="219" fillId="0" borderId="6" xfId="0" applyFont="1" applyFill="1" applyBorder="1" applyAlignment="1" applyProtection="1">
      <alignment horizontal="right" vertical="center"/>
    </xf>
    <xf numFmtId="170" fontId="219" fillId="0" borderId="10" xfId="0" applyNumberFormat="1" applyFont="1" applyFill="1" applyBorder="1" applyAlignment="1" applyProtection="1">
      <alignment horizontal="center" vertical="center"/>
    </xf>
    <xf numFmtId="0" fontId="219" fillId="0" borderId="16" xfId="0" applyFont="1" applyFill="1" applyBorder="1" applyAlignment="1" applyProtection="1">
      <alignment horizontal="right" vertical="center"/>
    </xf>
    <xf numFmtId="170" fontId="219" fillId="0" borderId="18" xfId="0" applyNumberFormat="1" applyFont="1" applyFill="1" applyBorder="1" applyAlignment="1" applyProtection="1">
      <alignment horizontal="left" vertical="center"/>
    </xf>
    <xf numFmtId="170" fontId="219" fillId="0" borderId="7" xfId="0" applyNumberFormat="1" applyFont="1" applyFill="1" applyBorder="1" applyAlignment="1" applyProtection="1">
      <alignment horizontal="center" vertical="center"/>
    </xf>
    <xf numFmtId="170" fontId="219" fillId="0" borderId="11" xfId="0" applyNumberFormat="1" applyFont="1" applyFill="1" applyBorder="1" applyAlignment="1" applyProtection="1">
      <alignment horizontal="center" vertical="center"/>
    </xf>
    <xf numFmtId="0" fontId="219" fillId="0" borderId="14" xfId="0" applyFont="1" applyFill="1" applyBorder="1" applyAlignment="1" applyProtection="1">
      <alignment horizontal="right" vertical="center"/>
    </xf>
    <xf numFmtId="170" fontId="219" fillId="0" borderId="23" xfId="0" applyNumberFormat="1" applyFont="1" applyFill="1" applyBorder="1" applyAlignment="1" applyProtection="1">
      <alignment horizontal="left" vertical="center"/>
    </xf>
    <xf numFmtId="0" fontId="220" fillId="0" borderId="0" xfId="0" applyFont="1" applyFill="1" applyAlignment="1" applyProtection="1">
      <alignment vertical="center"/>
    </xf>
    <xf numFmtId="0" fontId="227" fillId="0" borderId="24" xfId="0" applyFont="1" applyFill="1" applyBorder="1" applyAlignment="1" applyProtection="1">
      <alignment vertical="center"/>
    </xf>
    <xf numFmtId="0" fontId="219" fillId="0" borderId="24" xfId="0" applyFont="1" applyFill="1" applyBorder="1" applyAlignment="1" applyProtection="1">
      <alignment vertical="center"/>
    </xf>
    <xf numFmtId="0" fontId="238" fillId="0" borderId="22" xfId="0" applyFont="1" applyFill="1" applyBorder="1" applyAlignment="1" applyProtection="1">
      <alignment vertical="center"/>
    </xf>
    <xf numFmtId="0" fontId="215" fillId="0" borderId="111" xfId="0" applyFont="1" applyFill="1" applyBorder="1" applyAlignment="1" applyProtection="1">
      <alignment vertical="center"/>
    </xf>
    <xf numFmtId="0" fontId="215" fillId="0" borderId="85" xfId="0" applyFont="1" applyFill="1" applyBorder="1" applyAlignment="1" applyProtection="1">
      <alignment vertical="center"/>
    </xf>
    <xf numFmtId="0" fontId="239" fillId="0" borderId="44" xfId="0" applyFont="1" applyFill="1" applyBorder="1" applyAlignment="1" applyProtection="1">
      <alignment horizontal="right" vertical="center"/>
    </xf>
    <xf numFmtId="0" fontId="239" fillId="0" borderId="26" xfId="0" applyFont="1" applyFill="1" applyBorder="1" applyAlignment="1" applyProtection="1">
      <alignment horizontal="center" vertical="center"/>
    </xf>
    <xf numFmtId="0" fontId="239" fillId="0" borderId="24" xfId="0" applyFont="1" applyFill="1" applyBorder="1" applyAlignment="1" applyProtection="1">
      <alignment vertical="center"/>
    </xf>
    <xf numFmtId="0" fontId="239" fillId="0" borderId="22" xfId="0" applyFont="1" applyFill="1" applyBorder="1" applyAlignment="1" applyProtection="1">
      <alignment vertical="center"/>
    </xf>
    <xf numFmtId="0" fontId="222" fillId="0" borderId="29" xfId="0" applyFont="1" applyFill="1" applyBorder="1" applyAlignment="1" applyProtection="1">
      <alignment horizontal="right" vertical="center" wrapText="1"/>
    </xf>
    <xf numFmtId="0" fontId="241" fillId="0" borderId="24" xfId="0" quotePrefix="1" applyFont="1" applyFill="1" applyBorder="1" applyAlignment="1" applyProtection="1">
      <alignment vertical="center"/>
    </xf>
    <xf numFmtId="0" fontId="241" fillId="0" borderId="24" xfId="0" applyFont="1" applyFill="1" applyBorder="1" applyAlignment="1" applyProtection="1">
      <alignment vertical="center"/>
    </xf>
    <xf numFmtId="0" fontId="241" fillId="0" borderId="37" xfId="0" applyFont="1" applyFill="1" applyBorder="1" applyAlignment="1" applyProtection="1">
      <alignment vertical="center"/>
    </xf>
    <xf numFmtId="0" fontId="222" fillId="0" borderId="179" xfId="0" applyFont="1" applyFill="1" applyBorder="1" applyAlignment="1" applyProtection="1">
      <alignment horizontal="center" vertical="center"/>
    </xf>
    <xf numFmtId="0" fontId="225" fillId="0" borderId="7" xfId="0" applyFont="1" applyFill="1" applyBorder="1" applyAlignment="1" applyProtection="1">
      <alignment horizontal="center" vertical="center"/>
    </xf>
    <xf numFmtId="0" fontId="223" fillId="0" borderId="24" xfId="0" applyFont="1" applyFill="1" applyBorder="1" applyAlignment="1" applyProtection="1">
      <alignment horizontal="center" vertical="center"/>
    </xf>
    <xf numFmtId="0" fontId="223" fillId="0" borderId="37" xfId="0" applyFont="1" applyFill="1" applyBorder="1" applyAlignment="1" applyProtection="1">
      <alignment horizontal="center" vertical="center"/>
    </xf>
    <xf numFmtId="0" fontId="223" fillId="0" borderId="19" xfId="0" applyFont="1" applyFill="1" applyBorder="1" applyAlignment="1" applyProtection="1">
      <alignment horizontal="right" vertical="center"/>
    </xf>
    <xf numFmtId="165" fontId="219" fillId="0" borderId="1" xfId="0" applyNumberFormat="1" applyFont="1" applyFill="1" applyBorder="1" applyAlignment="1" applyProtection="1">
      <alignment horizontal="center" vertical="center"/>
    </xf>
    <xf numFmtId="0" fontId="219" fillId="0" borderId="13" xfId="0" applyFont="1" applyFill="1" applyBorder="1" applyAlignment="1" applyProtection="1">
      <alignment vertical="center"/>
    </xf>
    <xf numFmtId="0" fontId="219" fillId="0" borderId="9" xfId="0" applyFont="1" applyFill="1" applyBorder="1" applyAlignment="1" applyProtection="1">
      <alignment horizontal="right" vertical="center"/>
    </xf>
    <xf numFmtId="172" fontId="219" fillId="0" borderId="8" xfId="0" applyNumberFormat="1" applyFont="1" applyFill="1" applyBorder="1" applyAlignment="1" applyProtection="1">
      <alignment horizontal="left" vertical="center"/>
    </xf>
    <xf numFmtId="172" fontId="219" fillId="0" borderId="23" xfId="0" applyNumberFormat="1" applyFont="1" applyFill="1" applyBorder="1" applyAlignment="1" applyProtection="1">
      <alignment horizontal="left" vertical="center"/>
    </xf>
    <xf numFmtId="0" fontId="219" fillId="0" borderId="40" xfId="0" applyFont="1" applyFill="1" applyBorder="1" applyAlignment="1" applyProtection="1">
      <alignment horizontal="right" vertical="center" wrapText="1"/>
    </xf>
    <xf numFmtId="0" fontId="219" fillId="0" borderId="3" xfId="0" applyFont="1" applyFill="1" applyBorder="1" applyAlignment="1" applyProtection="1">
      <alignment horizontal="right" vertical="center"/>
    </xf>
    <xf numFmtId="0" fontId="219" fillId="0" borderId="19" xfId="0" applyFont="1" applyFill="1" applyBorder="1" applyAlignment="1" applyProtection="1">
      <alignment horizontal="right" vertical="center" wrapText="1"/>
    </xf>
    <xf numFmtId="0" fontId="238" fillId="0" borderId="136" xfId="0" applyFont="1" applyFill="1" applyBorder="1" applyAlignment="1" applyProtection="1">
      <alignment vertical="center"/>
    </xf>
    <xf numFmtId="0" fontId="222" fillId="0" borderId="45" xfId="0" applyFont="1" applyFill="1" applyBorder="1" applyAlignment="1" applyProtection="1">
      <alignment vertical="center" wrapText="1"/>
    </xf>
    <xf numFmtId="0" fontId="219" fillId="0" borderId="54" xfId="0" applyFont="1" applyFill="1" applyBorder="1" applyAlignment="1" applyProtection="1">
      <alignment horizontal="right" vertical="center" wrapText="1"/>
    </xf>
    <xf numFmtId="0" fontId="219" fillId="0" borderId="12" xfId="0" applyFont="1" applyFill="1" applyBorder="1" applyAlignment="1" applyProtection="1">
      <alignment horizontal="right" vertical="center" wrapText="1"/>
    </xf>
    <xf numFmtId="0" fontId="219" fillId="0" borderId="48" xfId="0" applyFont="1" applyFill="1" applyBorder="1" applyAlignment="1" applyProtection="1">
      <alignment horizontal="left" vertical="center"/>
    </xf>
    <xf numFmtId="0" fontId="222" fillId="0" borderId="0" xfId="0" applyFont="1" applyFill="1" applyBorder="1" applyAlignment="1" applyProtection="1">
      <alignment vertical="center" wrapText="1"/>
    </xf>
    <xf numFmtId="0" fontId="219" fillId="0" borderId="142" xfId="0" applyFont="1" applyFill="1" applyBorder="1" applyAlignment="1" applyProtection="1">
      <alignment horizontal="right" vertical="center"/>
    </xf>
    <xf numFmtId="0" fontId="219" fillId="0" borderId="47" xfId="0" applyFont="1" applyFill="1" applyBorder="1" applyAlignment="1" applyProtection="1">
      <alignment horizontal="center" vertical="center"/>
    </xf>
    <xf numFmtId="0" fontId="222" fillId="0" borderId="48" xfId="0" applyFont="1" applyFill="1" applyBorder="1" applyAlignment="1" applyProtection="1">
      <alignment horizontal="right" vertical="center"/>
    </xf>
    <xf numFmtId="0" fontId="238" fillId="0" borderId="48" xfId="0" applyFont="1" applyFill="1" applyBorder="1" applyAlignment="1" applyProtection="1">
      <alignment vertical="center"/>
    </xf>
    <xf numFmtId="0" fontId="219" fillId="0" borderId="27" xfId="0" applyFont="1" applyFill="1" applyBorder="1" applyAlignment="1" applyProtection="1">
      <alignment horizontal="left" vertical="center"/>
    </xf>
    <xf numFmtId="0" fontId="222" fillId="0" borderId="24" xfId="0" applyFont="1" applyFill="1" applyBorder="1" applyAlignment="1" applyProtection="1">
      <alignment vertical="center" wrapText="1"/>
    </xf>
    <xf numFmtId="0" fontId="219" fillId="0" borderId="20" xfId="0" applyFont="1" applyFill="1" applyBorder="1" applyAlignment="1" applyProtection="1">
      <alignment horizontal="center" vertical="center"/>
    </xf>
    <xf numFmtId="0" fontId="227" fillId="0" borderId="17" xfId="0" applyFont="1" applyFill="1" applyBorder="1" applyAlignment="1" applyProtection="1">
      <alignment vertical="center"/>
    </xf>
    <xf numFmtId="0" fontId="227" fillId="0" borderId="37" xfId="0" applyFont="1" applyFill="1" applyBorder="1" applyAlignment="1" applyProtection="1">
      <alignment vertical="center"/>
    </xf>
    <xf numFmtId="0" fontId="219" fillId="0" borderId="24" xfId="0" applyFont="1" applyFill="1" applyBorder="1" applyAlignment="1" applyProtection="1">
      <alignment horizontal="right" vertical="center" wrapText="1"/>
    </xf>
    <xf numFmtId="0" fontId="225" fillId="0" borderId="20" xfId="0" applyFont="1" applyFill="1" applyBorder="1" applyAlignment="1" applyProtection="1">
      <alignment horizontal="center" vertical="center"/>
    </xf>
    <xf numFmtId="0" fontId="225" fillId="0" borderId="15" xfId="0" applyFont="1" applyFill="1" applyBorder="1" applyAlignment="1" applyProtection="1">
      <alignment vertical="center"/>
    </xf>
    <xf numFmtId="0" fontId="240" fillId="0" borderId="17" xfId="0" applyFont="1" applyFill="1" applyBorder="1" applyAlignment="1" applyProtection="1">
      <alignment vertical="center"/>
    </xf>
    <xf numFmtId="0" fontId="240" fillId="0" borderId="37" xfId="0" applyFont="1" applyFill="1" applyBorder="1" applyAlignment="1" applyProtection="1">
      <alignment vertical="center"/>
    </xf>
    <xf numFmtId="0" fontId="225" fillId="0" borderId="46" xfId="0" applyFont="1" applyFill="1" applyBorder="1" applyAlignment="1" applyProtection="1">
      <alignment horizontal="right" vertical="center"/>
    </xf>
    <xf numFmtId="0" fontId="219" fillId="0" borderId="16" xfId="0" applyFont="1" applyFill="1" applyBorder="1" applyAlignment="1" applyProtection="1">
      <alignment vertical="center"/>
    </xf>
    <xf numFmtId="0" fontId="241" fillId="0" borderId="16" xfId="0" applyFont="1" applyFill="1" applyBorder="1" applyAlignment="1" applyProtection="1">
      <alignment vertical="center"/>
    </xf>
    <xf numFmtId="0" fontId="241" fillId="0" borderId="18" xfId="0" applyFont="1" applyFill="1" applyBorder="1" applyAlignment="1" applyProtection="1">
      <alignment vertical="center"/>
    </xf>
    <xf numFmtId="0" fontId="225" fillId="0" borderId="24" xfId="0" applyFont="1" applyFill="1" applyBorder="1" applyAlignment="1" applyProtection="1">
      <alignment horizontal="right" vertical="center"/>
    </xf>
    <xf numFmtId="0" fontId="241" fillId="0" borderId="23" xfId="0" applyFont="1" applyFill="1" applyBorder="1" applyAlignment="1" applyProtection="1">
      <alignment vertical="center"/>
    </xf>
    <xf numFmtId="0" fontId="242" fillId="0" borderId="0" xfId="0" applyFont="1" applyFill="1" applyAlignment="1" applyProtection="1">
      <alignment vertical="center"/>
    </xf>
    <xf numFmtId="0" fontId="243" fillId="0" borderId="0" xfId="0" applyFont="1" applyFill="1" applyAlignment="1" applyProtection="1">
      <alignment vertical="center"/>
    </xf>
    <xf numFmtId="0" fontId="218" fillId="0" borderId="0" xfId="0" applyFont="1" applyFill="1" applyBorder="1" applyAlignment="1" applyProtection="1">
      <alignment vertical="center"/>
    </xf>
    <xf numFmtId="0" fontId="239" fillId="0" borderId="0" xfId="0" applyFont="1" applyFill="1" applyBorder="1" applyAlignment="1" applyProtection="1">
      <alignment horizontal="right" vertical="center"/>
    </xf>
    <xf numFmtId="0" fontId="236" fillId="0" borderId="0" xfId="0" applyFont="1" applyFill="1" applyBorder="1" applyAlignment="1" applyProtection="1">
      <alignment horizontal="left" vertical="center"/>
    </xf>
    <xf numFmtId="0" fontId="236" fillId="0" borderId="0" xfId="0" applyFont="1" applyFill="1" applyBorder="1" applyAlignment="1" applyProtection="1">
      <alignment vertical="center"/>
    </xf>
    <xf numFmtId="0" fontId="215" fillId="0" borderId="56" xfId="0" applyFont="1" applyFill="1" applyBorder="1" applyAlignment="1" applyProtection="1">
      <alignment vertical="center"/>
    </xf>
    <xf numFmtId="0" fontId="239" fillId="0" borderId="56" xfId="0" applyFont="1" applyFill="1" applyBorder="1" applyAlignment="1" applyProtection="1">
      <alignment horizontal="right" vertical="center"/>
    </xf>
    <xf numFmtId="0" fontId="216" fillId="0" borderId="56" xfId="0" applyFont="1" applyFill="1" applyBorder="1" applyAlignment="1" applyProtection="1">
      <alignment horizontal="center" vertical="center"/>
    </xf>
    <xf numFmtId="0" fontId="239" fillId="0" borderId="56" xfId="0" applyFont="1" applyFill="1" applyBorder="1" applyAlignment="1" applyProtection="1">
      <alignment horizontal="left" vertical="center"/>
    </xf>
    <xf numFmtId="0" fontId="217" fillId="0" borderId="56" xfId="0" applyFont="1" applyFill="1" applyBorder="1" applyAlignment="1" applyProtection="1">
      <alignment vertical="center"/>
    </xf>
    <xf numFmtId="0" fontId="245" fillId="0" borderId="0" xfId="0" applyFont="1" applyFill="1" applyBorder="1" applyAlignment="1" applyProtection="1">
      <alignment vertical="center"/>
    </xf>
    <xf numFmtId="0" fontId="244" fillId="0" borderId="0" xfId="0" applyFont="1" applyFill="1" applyBorder="1" applyAlignment="1" applyProtection="1">
      <alignment horizontal="center" vertical="top" wrapText="1"/>
    </xf>
    <xf numFmtId="0" fontId="245" fillId="0" borderId="0" xfId="0" applyFont="1" applyFill="1" applyBorder="1" applyAlignment="1" applyProtection="1">
      <alignment horizontal="left" vertical="center"/>
    </xf>
    <xf numFmtId="0" fontId="218" fillId="5" borderId="20" xfId="0" applyFont="1" applyFill="1" applyBorder="1" applyAlignment="1" applyProtection="1">
      <alignment horizontal="center" vertical="center"/>
    </xf>
    <xf numFmtId="0" fontId="246" fillId="0" borderId="25" xfId="0" applyFont="1" applyFill="1" applyBorder="1" applyAlignment="1" applyProtection="1">
      <alignment horizontal="right" vertical="top"/>
    </xf>
    <xf numFmtId="0" fontId="234" fillId="0" borderId="26" xfId="0" applyFont="1" applyFill="1" applyBorder="1" applyAlignment="1" applyProtection="1">
      <alignment horizontal="center" vertical="center"/>
    </xf>
    <xf numFmtId="0" fontId="223" fillId="0" borderId="22" xfId="0" applyFont="1" applyFill="1" applyBorder="1" applyAlignment="1" applyProtection="1">
      <alignment horizontal="left" vertical="center"/>
    </xf>
    <xf numFmtId="172" fontId="222" fillId="0" borderId="19" xfId="0" applyNumberFormat="1" applyFont="1" applyFill="1" applyBorder="1" applyAlignment="1" applyProtection="1">
      <alignment horizontal="center" vertical="center"/>
    </xf>
    <xf numFmtId="0" fontId="222" fillId="0" borderId="31" xfId="0" applyFont="1" applyFill="1" applyBorder="1" applyAlignment="1" applyProtection="1">
      <alignment horizontal="center" vertical="center"/>
    </xf>
    <xf numFmtId="0" fontId="219" fillId="0" borderId="21" xfId="0" applyFont="1" applyFill="1" applyBorder="1" applyAlignment="1" applyProtection="1">
      <alignment horizontal="left" vertical="center"/>
    </xf>
    <xf numFmtId="0" fontId="222" fillId="0" borderId="4" xfId="0" applyFont="1" applyFill="1" applyBorder="1" applyAlignment="1" applyProtection="1">
      <alignment horizontal="left" vertical="center"/>
    </xf>
    <xf numFmtId="172" fontId="222" fillId="0" borderId="25" xfId="0" applyNumberFormat="1" applyFont="1" applyFill="1" applyBorder="1" applyAlignment="1" applyProtection="1">
      <alignment horizontal="center" vertical="center"/>
    </xf>
    <xf numFmtId="0" fontId="223" fillId="0" borderId="9" xfId="0" applyFont="1" applyFill="1" applyBorder="1" applyAlignment="1" applyProtection="1">
      <alignment horizontal="left" vertical="center"/>
    </xf>
    <xf numFmtId="0" fontId="243" fillId="0" borderId="0" xfId="0" applyFont="1" applyFill="1" applyBorder="1" applyAlignment="1" applyProtection="1">
      <alignment horizontal="left" vertical="center"/>
    </xf>
    <xf numFmtId="0" fontId="222" fillId="0" borderId="1" xfId="0" applyFont="1" applyFill="1" applyBorder="1" applyAlignment="1" applyProtection="1">
      <alignment horizontal="center" vertical="center"/>
    </xf>
    <xf numFmtId="0" fontId="219" fillId="0" borderId="14" xfId="0" applyFont="1" applyFill="1" applyBorder="1" applyAlignment="1" applyProtection="1">
      <alignment horizontal="left" vertical="center"/>
    </xf>
    <xf numFmtId="0" fontId="222" fillId="0" borderId="18" xfId="0" applyFont="1" applyFill="1" applyBorder="1" applyAlignment="1" applyProtection="1">
      <alignment horizontal="left" vertical="center"/>
    </xf>
    <xf numFmtId="0" fontId="223" fillId="0" borderId="16" xfId="0" applyFont="1" applyFill="1" applyBorder="1" applyAlignment="1" applyProtection="1">
      <alignment horizontal="left" vertical="center"/>
    </xf>
    <xf numFmtId="0" fontId="234" fillId="0" borderId="25" xfId="0" applyFont="1" applyFill="1" applyBorder="1" applyAlignment="1" applyProtection="1">
      <alignment horizontal="right" vertical="center"/>
    </xf>
    <xf numFmtId="0" fontId="219" fillId="0" borderId="8" xfId="0" applyFont="1" applyFill="1" applyBorder="1" applyAlignment="1" applyProtection="1">
      <alignment vertical="center"/>
    </xf>
    <xf numFmtId="0" fontId="219" fillId="0" borderId="23" xfId="0" applyFont="1" applyFill="1" applyBorder="1" applyAlignment="1" applyProtection="1">
      <alignment vertical="center"/>
    </xf>
    <xf numFmtId="0" fontId="243" fillId="0" borderId="28" xfId="0" applyFont="1" applyFill="1" applyBorder="1" applyAlignment="1" applyProtection="1">
      <alignment horizontal="left" vertical="center"/>
    </xf>
    <xf numFmtId="0" fontId="222" fillId="0" borderId="46" xfId="0" applyFont="1" applyFill="1" applyBorder="1" applyAlignment="1" applyProtection="1">
      <alignment horizontal="right" vertical="center"/>
    </xf>
    <xf numFmtId="0" fontId="229" fillId="0" borderId="21" xfId="0" applyFont="1" applyFill="1" applyBorder="1" applyAlignment="1" applyProtection="1">
      <alignment horizontal="left" vertical="center"/>
    </xf>
    <xf numFmtId="0" fontId="234" fillId="0" borderId="29" xfId="0" applyFont="1" applyFill="1" applyBorder="1" applyAlignment="1" applyProtection="1">
      <alignment horizontal="right" vertical="center"/>
    </xf>
    <xf numFmtId="0" fontId="234" fillId="0" borderId="29" xfId="0" applyFont="1" applyFill="1" applyBorder="1" applyAlignment="1" applyProtection="1">
      <alignment horizontal="center" vertical="center"/>
    </xf>
    <xf numFmtId="0" fontId="223" fillId="0" borderId="15" xfId="0" applyFont="1" applyFill="1" applyBorder="1" applyAlignment="1" applyProtection="1">
      <alignment vertical="center"/>
    </xf>
    <xf numFmtId="0" fontId="223" fillId="0" borderId="17" xfId="0" applyFont="1" applyFill="1" applyBorder="1" applyAlignment="1" applyProtection="1">
      <alignment vertical="center"/>
    </xf>
    <xf numFmtId="0" fontId="223" fillId="0" borderId="37" xfId="0" applyFont="1" applyFill="1" applyBorder="1" applyAlignment="1" applyProtection="1">
      <alignment vertical="center"/>
    </xf>
    <xf numFmtId="0" fontId="236" fillId="0" borderId="28" xfId="0" applyFont="1" applyFill="1" applyBorder="1" applyAlignment="1" applyProtection="1">
      <alignment horizontal="left" vertical="center"/>
    </xf>
    <xf numFmtId="0" fontId="229" fillId="0" borderId="10" xfId="0" applyFont="1" applyFill="1" applyBorder="1" applyAlignment="1" applyProtection="1">
      <alignment vertical="center"/>
    </xf>
    <xf numFmtId="0" fontId="234" fillId="0" borderId="19" xfId="0" applyFont="1" applyFill="1" applyBorder="1" applyAlignment="1" applyProtection="1">
      <alignment horizontal="right" vertical="center"/>
    </xf>
    <xf numFmtId="0" fontId="234" fillId="0" borderId="19" xfId="0" applyFont="1" applyFill="1" applyBorder="1" applyAlignment="1" applyProtection="1">
      <alignment horizontal="center" vertical="center"/>
    </xf>
    <xf numFmtId="0" fontId="223" fillId="0" borderId="16" xfId="0" applyFont="1" applyFill="1" applyBorder="1" applyAlignment="1" applyProtection="1">
      <alignment vertical="center"/>
    </xf>
    <xf numFmtId="0" fontId="223" fillId="0" borderId="18" xfId="0" applyFont="1" applyFill="1" applyBorder="1" applyAlignment="1" applyProtection="1">
      <alignment vertical="center"/>
    </xf>
    <xf numFmtId="0" fontId="222" fillId="0" borderId="6" xfId="0" applyFont="1" applyFill="1" applyBorder="1" applyAlignment="1" applyProtection="1">
      <alignment horizontal="right" vertical="center"/>
    </xf>
    <xf numFmtId="0" fontId="234" fillId="0" borderId="11" xfId="0" applyFont="1" applyFill="1" applyBorder="1" applyAlignment="1" applyProtection="1">
      <alignment horizontal="right" vertical="center"/>
    </xf>
    <xf numFmtId="0" fontId="234" fillId="0" borderId="7" xfId="0" applyFont="1" applyFill="1" applyBorder="1" applyAlignment="1" applyProtection="1">
      <alignment horizontal="center" vertical="center"/>
    </xf>
    <xf numFmtId="0" fontId="215" fillId="0" borderId="51" xfId="0" applyFont="1" applyFill="1" applyBorder="1" applyAlignment="1" applyProtection="1">
      <alignment vertical="center"/>
    </xf>
    <xf numFmtId="0" fontId="238" fillId="0" borderId="15" xfId="0" applyFont="1" applyFill="1" applyBorder="1" applyAlignment="1" applyProtection="1">
      <alignment vertical="center"/>
    </xf>
    <xf numFmtId="0" fontId="223" fillId="0" borderId="8" xfId="0" applyFont="1" applyFill="1" applyBorder="1" applyAlignment="1" applyProtection="1">
      <alignment horizontal="right" vertical="center"/>
    </xf>
    <xf numFmtId="0" fontId="223" fillId="0" borderId="37" xfId="0" applyFont="1" applyFill="1" applyBorder="1" applyAlignment="1" applyProtection="1">
      <alignment horizontal="left" vertical="center"/>
    </xf>
    <xf numFmtId="0" fontId="248" fillId="0" borderId="28" xfId="0" applyFont="1" applyFill="1" applyBorder="1" applyAlignment="1" applyProtection="1">
      <alignment vertical="center"/>
    </xf>
    <xf numFmtId="0" fontId="222" fillId="0" borderId="2" xfId="0" applyFont="1" applyFill="1" applyBorder="1" applyAlignment="1" applyProtection="1">
      <alignment horizontal="center" vertical="center"/>
    </xf>
    <xf numFmtId="0" fontId="229" fillId="0" borderId="21" xfId="0" applyFont="1" applyFill="1" applyBorder="1" applyAlignment="1" applyProtection="1">
      <alignment horizontal="center" vertical="center"/>
    </xf>
    <xf numFmtId="0" fontId="234" fillId="0" borderId="140" xfId="0" applyFont="1" applyFill="1" applyBorder="1" applyAlignment="1" applyProtection="1">
      <alignment horizontal="right" vertical="center"/>
    </xf>
    <xf numFmtId="0" fontId="229" fillId="0" borderId="27" xfId="0" applyFont="1" applyFill="1" applyBorder="1" applyAlignment="1" applyProtection="1">
      <alignment horizontal="left" vertical="center"/>
    </xf>
    <xf numFmtId="0" fontId="234" fillId="0" borderId="24" xfId="0" applyFont="1" applyFill="1" applyBorder="1" applyAlignment="1" applyProtection="1">
      <alignment horizontal="right" vertical="center"/>
    </xf>
    <xf numFmtId="0" fontId="234" fillId="0" borderId="22" xfId="0" applyFont="1" applyFill="1" applyBorder="1" applyAlignment="1" applyProtection="1">
      <alignment horizontal="left" vertical="center"/>
    </xf>
    <xf numFmtId="0" fontId="229" fillId="0" borderId="28" xfId="0" applyFont="1" applyFill="1" applyBorder="1" applyAlignment="1" applyProtection="1">
      <alignment horizontal="left" vertical="center"/>
    </xf>
    <xf numFmtId="0" fontId="222" fillId="0" borderId="9" xfId="0" applyFont="1" applyFill="1" applyBorder="1" applyAlignment="1" applyProtection="1">
      <alignment horizontal="left" vertical="center"/>
    </xf>
    <xf numFmtId="0" fontId="222" fillId="0" borderId="23" xfId="0" applyFont="1" applyFill="1" applyBorder="1" applyAlignment="1" applyProtection="1">
      <alignment horizontal="left" vertical="center"/>
    </xf>
    <xf numFmtId="0" fontId="217" fillId="0" borderId="51" xfId="0" applyFont="1" applyFill="1" applyBorder="1" applyAlignment="1" applyProtection="1">
      <alignment vertical="center"/>
    </xf>
    <xf numFmtId="165" fontId="219" fillId="0" borderId="29" xfId="0" applyNumberFormat="1" applyFont="1" applyFill="1" applyBorder="1" applyAlignment="1" applyProtection="1">
      <alignment horizontal="center" vertical="center"/>
    </xf>
    <xf numFmtId="0" fontId="227" fillId="0" borderId="27" xfId="0" applyFont="1" applyFill="1" applyBorder="1" applyAlignment="1" applyProtection="1">
      <alignment horizontal="left" vertical="center"/>
    </xf>
    <xf numFmtId="0" fontId="227" fillId="0" borderId="24" xfId="0" applyFont="1" applyFill="1" applyBorder="1" applyAlignment="1" applyProtection="1">
      <alignment horizontal="left" vertical="center"/>
    </xf>
    <xf numFmtId="0" fontId="250" fillId="0" borderId="22" xfId="0" applyFont="1" applyFill="1" applyBorder="1" applyAlignment="1" applyProtection="1">
      <alignment vertical="center"/>
    </xf>
    <xf numFmtId="0" fontId="251" fillId="0" borderId="20" xfId="0" applyFont="1" applyFill="1" applyBorder="1" applyAlignment="1" applyProtection="1">
      <alignment horizontal="right" vertical="center"/>
    </xf>
    <xf numFmtId="0" fontId="222" fillId="0" borderId="20" xfId="0" applyFont="1" applyFill="1" applyBorder="1" applyAlignment="1" applyProtection="1">
      <alignment horizontal="center" vertical="center"/>
    </xf>
    <xf numFmtId="0" fontId="245" fillId="0" borderId="17" xfId="0" applyFont="1" applyFill="1" applyBorder="1" applyAlignment="1" applyProtection="1">
      <alignment vertical="center"/>
    </xf>
    <xf numFmtId="0" fontId="215" fillId="0" borderId="17" xfId="0" applyFont="1" applyFill="1" applyBorder="1" applyAlignment="1" applyProtection="1">
      <alignment vertical="center"/>
    </xf>
    <xf numFmtId="0" fontId="242" fillId="0" borderId="17" xfId="0" applyFont="1" applyFill="1" applyBorder="1" applyAlignment="1" applyProtection="1">
      <alignment vertical="center"/>
    </xf>
    <xf numFmtId="0" fontId="223" fillId="0" borderId="21" xfId="0" applyFont="1" applyFill="1" applyBorder="1" applyAlignment="1" applyProtection="1">
      <alignment vertical="center"/>
    </xf>
    <xf numFmtId="176" fontId="223" fillId="0" borderId="4" xfId="0" applyNumberFormat="1" applyFont="1" applyFill="1" applyBorder="1" applyAlignment="1" applyProtection="1">
      <alignment horizontal="left" vertical="center"/>
    </xf>
    <xf numFmtId="0" fontId="215" fillId="0" borderId="106" xfId="0" applyFont="1" applyFill="1" applyBorder="1" applyAlignment="1" applyProtection="1">
      <alignment vertical="center"/>
    </xf>
    <xf numFmtId="0" fontId="239" fillId="0" borderId="24" xfId="0" applyFont="1" applyFill="1" applyBorder="1" applyAlignment="1" applyProtection="1">
      <alignment horizontal="center" vertical="center" wrapText="1"/>
    </xf>
    <xf numFmtId="0" fontId="239" fillId="0" borderId="22" xfId="0" applyFont="1" applyFill="1" applyBorder="1" applyAlignment="1" applyProtection="1">
      <alignment horizontal="center" vertical="center" wrapText="1"/>
    </xf>
    <xf numFmtId="0" fontId="253" fillId="20" borderId="25" xfId="0" applyFont="1" applyFill="1" applyBorder="1" applyAlignment="1" applyProtection="1">
      <alignment horizontal="center"/>
    </xf>
    <xf numFmtId="0" fontId="253" fillId="20" borderId="113" xfId="0" applyFont="1" applyFill="1" applyBorder="1" applyAlignment="1" applyProtection="1">
      <alignment horizontal="center"/>
    </xf>
    <xf numFmtId="0" fontId="236" fillId="0" borderId="44" xfId="0" applyFont="1" applyFill="1" applyBorder="1" applyAlignment="1" applyProtection="1">
      <alignment horizontal="left" vertical="center"/>
    </xf>
    <xf numFmtId="0" fontId="236" fillId="0" borderId="24" xfId="0" applyFont="1" applyFill="1" applyBorder="1" applyAlignment="1" applyProtection="1">
      <alignment horizontal="left" vertical="center"/>
    </xf>
    <xf numFmtId="0" fontId="254" fillId="0" borderId="37" xfId="0" applyFont="1" applyFill="1" applyBorder="1" applyAlignment="1" applyProtection="1">
      <alignment horizontal="left" vertical="center"/>
    </xf>
    <xf numFmtId="0" fontId="219" fillId="0" borderId="0" xfId="0" applyFont="1" applyFill="1" applyBorder="1" applyAlignment="1" applyProtection="1">
      <alignment horizontal="left" vertical="center"/>
    </xf>
    <xf numFmtId="176" fontId="223" fillId="0" borderId="22" xfId="0" applyNumberFormat="1" applyFont="1" applyFill="1" applyBorder="1" applyAlignment="1" applyProtection="1">
      <alignment horizontal="left" vertical="center"/>
    </xf>
    <xf numFmtId="0" fontId="234" fillId="0" borderId="6" xfId="0" applyFont="1" applyFill="1" applyBorder="1" applyAlignment="1" applyProtection="1">
      <alignment horizontal="right" vertical="center"/>
    </xf>
    <xf numFmtId="0" fontId="222" fillId="21" borderId="6" xfId="0" applyFont="1" applyFill="1" applyBorder="1" applyAlignment="1" applyProtection="1">
      <alignment horizontal="center" vertical="center"/>
    </xf>
    <xf numFmtId="0" fontId="229" fillId="0" borderId="6" xfId="0" applyFont="1" applyFill="1" applyBorder="1" applyAlignment="1" applyProtection="1">
      <alignment horizontal="left" vertical="center"/>
    </xf>
    <xf numFmtId="0" fontId="229" fillId="0" borderId="16" xfId="0" applyFont="1" applyFill="1" applyBorder="1" applyAlignment="1" applyProtection="1">
      <alignment horizontal="left" vertical="center"/>
    </xf>
    <xf numFmtId="0" fontId="255" fillId="0" borderId="28" xfId="0" applyFont="1" applyFill="1" applyBorder="1" applyAlignment="1" applyProtection="1">
      <alignment horizontal="left" vertical="center"/>
    </xf>
    <xf numFmtId="0" fontId="222" fillId="0" borderId="20" xfId="0" applyFont="1" applyFill="1" applyBorder="1" applyAlignment="1" applyProtection="1">
      <alignment horizontal="right" vertical="center"/>
    </xf>
    <xf numFmtId="0" fontId="222" fillId="0" borderId="7" xfId="0" applyFont="1" applyFill="1" applyBorder="1" applyAlignment="1" applyProtection="1">
      <alignment horizontal="center" vertical="center"/>
    </xf>
    <xf numFmtId="0" fontId="219" fillId="0" borderId="15" xfId="0" applyFont="1" applyFill="1" applyBorder="1" applyAlignment="1" applyProtection="1">
      <alignment horizontal="left" vertical="center"/>
    </xf>
    <xf numFmtId="0" fontId="217" fillId="0" borderId="0" xfId="0" applyFont="1" applyFill="1" applyBorder="1" applyAlignment="1" applyProtection="1">
      <alignment horizontal="center" vertical="center"/>
    </xf>
    <xf numFmtId="0" fontId="229" fillId="0" borderId="5" xfId="0" applyFont="1" applyFill="1" applyBorder="1" applyAlignment="1" applyProtection="1">
      <alignment horizontal="left" vertical="center"/>
    </xf>
    <xf numFmtId="0" fontId="229" fillId="0" borderId="13" xfId="0" applyFont="1" applyFill="1" applyBorder="1" applyAlignment="1" applyProtection="1">
      <alignment horizontal="left" vertical="center"/>
    </xf>
    <xf numFmtId="0" fontId="229" fillId="0" borderId="12" xfId="0" applyFont="1" applyFill="1" applyBorder="1" applyAlignment="1" applyProtection="1">
      <alignment horizontal="left" vertical="center"/>
    </xf>
    <xf numFmtId="0" fontId="222" fillId="0" borderId="26" xfId="0" applyFont="1" applyFill="1" applyBorder="1" applyAlignment="1" applyProtection="1">
      <alignment horizontal="center" vertical="center"/>
    </xf>
    <xf numFmtId="0" fontId="222" fillId="0" borderId="27" xfId="0" applyFont="1" applyFill="1" applyBorder="1" applyAlignment="1" applyProtection="1">
      <alignment horizontal="left" vertical="center"/>
    </xf>
    <xf numFmtId="0" fontId="229" fillId="0" borderId="22" xfId="0" applyFont="1" applyFill="1" applyBorder="1" applyAlignment="1" applyProtection="1">
      <alignment horizontal="left" vertical="center"/>
    </xf>
    <xf numFmtId="0" fontId="241" fillId="0" borderId="15" xfId="0" applyFont="1" applyFill="1" applyBorder="1" applyAlignment="1" applyProtection="1">
      <alignment vertical="center"/>
    </xf>
    <xf numFmtId="0" fontId="242" fillId="0" borderId="14" xfId="0" applyFont="1" applyFill="1" applyBorder="1" applyAlignment="1" applyProtection="1">
      <alignment vertical="center"/>
    </xf>
    <xf numFmtId="0" fontId="229" fillId="0" borderId="4" xfId="0" applyFont="1" applyFill="1" applyBorder="1" applyAlignment="1" applyProtection="1">
      <alignment horizontal="right" vertical="center"/>
    </xf>
    <xf numFmtId="0" fontId="250" fillId="0" borderId="16" xfId="0" applyFont="1" applyFill="1" applyBorder="1" applyAlignment="1" applyProtection="1">
      <alignment vertical="center"/>
    </xf>
    <xf numFmtId="0" fontId="245" fillId="0" borderId="24" xfId="0" applyFont="1" applyFill="1" applyBorder="1" applyAlignment="1" applyProtection="1">
      <alignment horizontal="left" vertical="center"/>
    </xf>
    <xf numFmtId="0" fontId="245" fillId="0" borderId="24" xfId="0" applyFont="1" applyFill="1" applyBorder="1" applyAlignment="1" applyProtection="1">
      <alignment horizontal="center" vertical="center"/>
    </xf>
    <xf numFmtId="0" fontId="229" fillId="0" borderId="18" xfId="0" applyFont="1" applyFill="1" applyBorder="1" applyAlignment="1" applyProtection="1">
      <alignment horizontal="right" vertical="center"/>
    </xf>
    <xf numFmtId="0" fontId="242" fillId="0" borderId="0" xfId="0" applyFont="1" applyFill="1" applyBorder="1" applyAlignment="1" applyProtection="1">
      <alignment vertical="center"/>
    </xf>
    <xf numFmtId="0" fontId="219" fillId="0" borderId="20" xfId="0" applyFont="1" applyFill="1" applyBorder="1" applyAlignment="1" applyProtection="1">
      <alignment horizontal="right" vertical="center"/>
    </xf>
    <xf numFmtId="0" fontId="222" fillId="0" borderId="20" xfId="0" applyNumberFormat="1" applyFont="1" applyFill="1" applyBorder="1" applyAlignment="1" applyProtection="1">
      <alignment horizontal="center" vertical="center"/>
    </xf>
    <xf numFmtId="0" fontId="219" fillId="0" borderId="45" xfId="0" applyFont="1" applyFill="1" applyBorder="1" applyAlignment="1" applyProtection="1">
      <alignment vertical="center"/>
    </xf>
    <xf numFmtId="0" fontId="229" fillId="0" borderId="24" xfId="0" applyFont="1" applyFill="1" applyBorder="1" applyAlignment="1" applyProtection="1">
      <alignment horizontal="left" vertical="center"/>
    </xf>
    <xf numFmtId="0" fontId="250" fillId="0" borderId="24" xfId="0" applyFont="1" applyFill="1" applyBorder="1" applyAlignment="1" applyProtection="1">
      <alignment vertical="center"/>
    </xf>
    <xf numFmtId="0" fontId="222" fillId="0" borderId="22" xfId="0" applyFont="1" applyFill="1" applyBorder="1" applyAlignment="1" applyProtection="1">
      <alignment vertical="center"/>
    </xf>
    <xf numFmtId="0" fontId="222" fillId="0" borderId="31" xfId="0" applyNumberFormat="1" applyFont="1" applyFill="1" applyBorder="1" applyAlignment="1" applyProtection="1">
      <alignment horizontal="center" vertical="center"/>
    </xf>
    <xf numFmtId="182" fontId="223" fillId="0" borderId="4" xfId="0" applyNumberFormat="1" applyFont="1" applyFill="1" applyBorder="1" applyAlignment="1" applyProtection="1">
      <alignment horizontal="left" vertical="center"/>
    </xf>
    <xf numFmtId="0" fontId="219" fillId="0" borderId="7" xfId="0" applyFont="1" applyFill="1" applyBorder="1" applyAlignment="1" applyProtection="1">
      <alignment horizontal="right" vertical="center"/>
    </xf>
    <xf numFmtId="0" fontId="222" fillId="0" borderId="7" xfId="0" applyNumberFormat="1" applyFont="1" applyFill="1" applyBorder="1" applyAlignment="1" applyProtection="1">
      <alignment horizontal="center" vertical="center"/>
    </xf>
    <xf numFmtId="0" fontId="219" fillId="0" borderId="9" xfId="0" applyFont="1" applyFill="1" applyBorder="1" applyAlignment="1" applyProtection="1">
      <alignment horizontal="left" vertical="center"/>
    </xf>
    <xf numFmtId="0" fontId="219" fillId="0" borderId="26" xfId="0" applyFont="1" applyFill="1" applyBorder="1" applyAlignment="1" applyProtection="1">
      <alignment horizontal="right" vertical="center"/>
    </xf>
    <xf numFmtId="0" fontId="238" fillId="0" borderId="27" xfId="0" applyFont="1" applyFill="1" applyBorder="1" applyAlignment="1" applyProtection="1">
      <alignment vertical="center"/>
    </xf>
    <xf numFmtId="0" fontId="219" fillId="0" borderId="2" xfId="0" applyFont="1" applyFill="1" applyBorder="1" applyAlignment="1" applyProtection="1">
      <alignment horizontal="right" vertical="center"/>
    </xf>
    <xf numFmtId="0" fontId="238" fillId="0" borderId="4" xfId="0" applyFont="1" applyFill="1" applyBorder="1" applyAlignment="1" applyProtection="1">
      <alignment vertical="center"/>
    </xf>
    <xf numFmtId="0" fontId="235" fillId="0" borderId="9" xfId="0" applyFont="1" applyFill="1" applyBorder="1" applyAlignment="1" applyProtection="1">
      <alignment horizontal="center" vertical="center"/>
    </xf>
    <xf numFmtId="0" fontId="235" fillId="0" borderId="22" xfId="0" applyFont="1" applyFill="1" applyBorder="1" applyAlignment="1" applyProtection="1">
      <alignment horizontal="center" vertical="center"/>
    </xf>
    <xf numFmtId="0" fontId="222" fillId="0" borderId="15" xfId="0" applyFont="1" applyFill="1" applyBorder="1" applyAlignment="1" applyProtection="1">
      <alignment horizontal="right" vertical="center"/>
    </xf>
    <xf numFmtId="0" fontId="219" fillId="0" borderId="15" xfId="0" applyFont="1" applyFill="1" applyBorder="1" applyAlignment="1" applyProtection="1">
      <alignment vertical="center"/>
    </xf>
    <xf numFmtId="0" fontId="238" fillId="0" borderId="37" xfId="0" applyFont="1" applyFill="1" applyBorder="1" applyAlignment="1" applyProtection="1">
      <alignment vertical="center"/>
    </xf>
    <xf numFmtId="0" fontId="219" fillId="0" borderId="46" xfId="0" applyFont="1" applyFill="1" applyBorder="1" applyAlignment="1" applyProtection="1">
      <alignment horizontal="right" vertical="center"/>
    </xf>
    <xf numFmtId="0" fontId="222" fillId="0" borderId="14" xfId="0" applyFont="1" applyFill="1" applyBorder="1" applyAlignment="1" applyProtection="1">
      <alignment horizontal="right" vertical="center"/>
    </xf>
    <xf numFmtId="0" fontId="229" fillId="0" borderId="14" xfId="0" applyFont="1" applyFill="1" applyBorder="1" applyAlignment="1" applyProtection="1">
      <alignment horizontal="left" vertical="center"/>
    </xf>
    <xf numFmtId="0" fontId="235" fillId="0" borderId="4" xfId="0" applyFont="1" applyFill="1" applyBorder="1" applyAlignment="1" applyProtection="1">
      <alignment horizontal="center" vertical="center"/>
    </xf>
    <xf numFmtId="0" fontId="222" fillId="0" borderId="9" xfId="0" applyFont="1" applyFill="1" applyBorder="1" applyAlignment="1" applyProtection="1">
      <alignment horizontal="right" vertical="center"/>
    </xf>
    <xf numFmtId="0" fontId="215" fillId="0" borderId="29" xfId="0" applyFont="1" applyFill="1" applyBorder="1" applyAlignment="1" applyProtection="1">
      <alignment vertical="center"/>
    </xf>
    <xf numFmtId="0" fontId="215" fillId="0" borderId="15" xfId="0" applyFont="1" applyFill="1" applyBorder="1" applyAlignment="1" applyProtection="1">
      <alignment vertical="center"/>
    </xf>
    <xf numFmtId="0" fontId="215" fillId="0" borderId="37" xfId="0" applyFont="1" applyFill="1" applyBorder="1" applyAlignment="1" applyProtection="1">
      <alignment vertical="center"/>
    </xf>
    <xf numFmtId="0" fontId="238" fillId="0" borderId="23" xfId="0" applyFont="1" applyFill="1" applyBorder="1" applyAlignment="1" applyProtection="1">
      <alignment vertical="center"/>
    </xf>
    <xf numFmtId="0" fontId="219" fillId="0" borderId="21" xfId="0" applyFont="1" applyFill="1" applyBorder="1" applyAlignment="1" applyProtection="1">
      <alignment horizontal="right" vertical="center"/>
    </xf>
    <xf numFmtId="0" fontId="219" fillId="0" borderId="21" xfId="0" applyFont="1" applyFill="1" applyBorder="1" applyAlignment="1" applyProtection="1">
      <alignment vertical="center"/>
    </xf>
    <xf numFmtId="0" fontId="245" fillId="0" borderId="0" xfId="0" applyFont="1" applyFill="1" applyBorder="1" applyAlignment="1" applyProtection="1">
      <alignment horizontal="center" vertical="center"/>
    </xf>
    <xf numFmtId="0" fontId="219" fillId="0" borderId="10" xfId="0" applyFont="1" applyFill="1" applyBorder="1" applyAlignment="1" applyProtection="1">
      <alignment horizontal="right" vertical="center"/>
    </xf>
    <xf numFmtId="0" fontId="219" fillId="0" borderId="5" xfId="0" applyFont="1" applyFill="1" applyBorder="1" applyAlignment="1" applyProtection="1">
      <alignment horizontal="center" vertical="center"/>
    </xf>
    <xf numFmtId="0" fontId="238" fillId="0" borderId="13" xfId="0" applyFont="1" applyFill="1" applyBorder="1" applyAlignment="1" applyProtection="1">
      <alignment vertical="center"/>
    </xf>
    <xf numFmtId="0" fontId="219" fillId="0" borderId="9" xfId="0" applyFont="1" applyFill="1" applyBorder="1" applyAlignment="1" applyProtection="1">
      <alignment vertical="center"/>
    </xf>
    <xf numFmtId="0" fontId="225" fillId="0" borderId="8" xfId="0" applyFont="1" applyFill="1" applyBorder="1" applyAlignment="1" applyProtection="1">
      <alignment horizontal="center" vertical="center"/>
    </xf>
    <xf numFmtId="0" fontId="227" fillId="0" borderId="9" xfId="0" applyFont="1" applyFill="1" applyBorder="1" applyAlignment="1" applyProtection="1">
      <alignment horizontal="left" vertical="center"/>
    </xf>
    <xf numFmtId="0" fontId="257" fillId="0" borderId="0" xfId="0" applyFont="1" applyFill="1" applyBorder="1" applyAlignment="1" applyProtection="1">
      <alignment horizontal="left" vertical="center"/>
    </xf>
    <xf numFmtId="0" fontId="257" fillId="0" borderId="28" xfId="0" applyFont="1" applyFill="1" applyBorder="1" applyAlignment="1" applyProtection="1">
      <alignment horizontal="left" vertical="center"/>
    </xf>
    <xf numFmtId="0" fontId="257" fillId="0" borderId="24" xfId="0" applyFont="1" applyFill="1" applyBorder="1" applyAlignment="1" applyProtection="1">
      <alignment vertical="center"/>
    </xf>
    <xf numFmtId="0" fontId="258" fillId="0" borderId="24" xfId="0" applyFont="1" applyFill="1" applyBorder="1" applyAlignment="1" applyProtection="1">
      <alignment vertical="center"/>
    </xf>
    <xf numFmtId="0" fontId="259" fillId="0" borderId="24" xfId="0" applyFont="1" applyFill="1" applyBorder="1" applyAlignment="1" applyProtection="1">
      <alignment vertical="center"/>
    </xf>
    <xf numFmtId="0" fontId="259" fillId="0" borderId="22" xfId="0" applyFont="1" applyFill="1" applyBorder="1" applyAlignment="1" applyProtection="1">
      <alignment vertical="center"/>
    </xf>
    <xf numFmtId="0" fontId="257" fillId="0" borderId="45" xfId="0" applyFont="1" applyFill="1" applyBorder="1" applyAlignment="1" applyProtection="1"/>
    <xf numFmtId="0" fontId="257" fillId="0" borderId="93" xfId="0" applyFont="1" applyFill="1" applyBorder="1" applyAlignment="1" applyProtection="1"/>
    <xf numFmtId="0" fontId="257" fillId="0" borderId="0" xfId="0" applyFont="1" applyFill="1" applyBorder="1" applyAlignment="1" applyProtection="1"/>
    <xf numFmtId="0" fontId="257" fillId="0" borderId="28" xfId="0" applyFont="1" applyFill="1" applyBorder="1" applyAlignment="1" applyProtection="1"/>
    <xf numFmtId="0" fontId="257" fillId="0" borderId="0" xfId="0" applyFont="1" applyFill="1" applyBorder="1" applyAlignment="1" applyProtection="1">
      <alignment vertical="center"/>
    </xf>
    <xf numFmtId="0" fontId="222" fillId="0" borderId="31" xfId="0" applyFont="1" applyFill="1" applyBorder="1" applyAlignment="1" applyProtection="1">
      <alignment horizontal="right" vertical="center"/>
    </xf>
    <xf numFmtId="0" fontId="250" fillId="0" borderId="4" xfId="0" applyFont="1" applyFill="1" applyBorder="1" applyAlignment="1" applyProtection="1">
      <alignment vertical="center"/>
    </xf>
    <xf numFmtId="0" fontId="222" fillId="0" borderId="6" xfId="0" applyFont="1" applyFill="1" applyBorder="1" applyAlignment="1" applyProtection="1">
      <alignment horizontal="center" vertical="center"/>
    </xf>
    <xf numFmtId="0" fontId="222" fillId="0" borderId="16" xfId="0" applyFont="1" applyFill="1" applyBorder="1" applyAlignment="1" applyProtection="1">
      <alignment vertical="center"/>
    </xf>
    <xf numFmtId="0" fontId="250" fillId="0" borderId="18" xfId="0" applyFont="1" applyFill="1" applyBorder="1" applyAlignment="1" applyProtection="1">
      <alignment vertical="center"/>
    </xf>
    <xf numFmtId="0" fontId="222" fillId="0" borderId="26" xfId="0" applyFont="1" applyFill="1" applyBorder="1" applyAlignment="1" applyProtection="1">
      <alignment horizontal="right" vertical="center"/>
    </xf>
    <xf numFmtId="0" fontId="260" fillId="0" borderId="22" xfId="0" applyFont="1" applyFill="1" applyBorder="1" applyAlignment="1" applyProtection="1">
      <alignment vertical="center" wrapText="1"/>
    </xf>
    <xf numFmtId="0" fontId="222" fillId="0" borderId="110" xfId="0" applyFont="1" applyFill="1" applyBorder="1" applyAlignment="1" applyProtection="1">
      <alignment horizontal="center" vertical="center"/>
    </xf>
    <xf numFmtId="0" fontId="219" fillId="0" borderId="3" xfId="0" applyFont="1" applyFill="1" applyBorder="1" applyAlignment="1" applyProtection="1">
      <alignment horizontal="left" vertical="center"/>
    </xf>
    <xf numFmtId="0" fontId="219" fillId="0" borderId="4" xfId="0" applyFont="1" applyFill="1" applyBorder="1" applyAlignment="1" applyProtection="1">
      <alignment horizontal="right" vertical="center"/>
    </xf>
    <xf numFmtId="0" fontId="222" fillId="0" borderId="73" xfId="0" applyFont="1" applyFill="1" applyBorder="1" applyAlignment="1" applyProtection="1">
      <alignment horizontal="center" vertical="center"/>
    </xf>
    <xf numFmtId="0" fontId="219" fillId="0" borderId="5" xfId="0" applyFont="1" applyFill="1" applyBorder="1" applyAlignment="1" applyProtection="1">
      <alignment horizontal="left" vertical="center"/>
    </xf>
    <xf numFmtId="0" fontId="219" fillId="0" borderId="13" xfId="0" applyFont="1" applyFill="1" applyBorder="1" applyAlignment="1" applyProtection="1">
      <alignment horizontal="right" vertical="center"/>
    </xf>
    <xf numFmtId="0" fontId="222" fillId="0" borderId="74" xfId="0" applyFont="1" applyFill="1" applyBorder="1" applyAlignment="1" applyProtection="1">
      <alignment horizontal="center" vertical="center"/>
    </xf>
    <xf numFmtId="0" fontId="219" fillId="0" borderId="8" xfId="0" applyFont="1" applyFill="1" applyBorder="1" applyAlignment="1" applyProtection="1">
      <alignment horizontal="left" vertical="center"/>
    </xf>
    <xf numFmtId="0" fontId="219" fillId="0" borderId="23" xfId="0" applyFont="1" applyFill="1" applyBorder="1" applyAlignment="1" applyProtection="1">
      <alignment horizontal="right" vertical="center"/>
    </xf>
    <xf numFmtId="0" fontId="219" fillId="5" borderId="11" xfId="0" applyFont="1" applyFill="1" applyBorder="1" applyAlignment="1" applyProtection="1">
      <alignment horizontal="center" vertical="center" wrapText="1"/>
    </xf>
    <xf numFmtId="0" fontId="219" fillId="5" borderId="23" xfId="0" applyFont="1" applyFill="1" applyBorder="1" applyAlignment="1" applyProtection="1">
      <alignment horizontal="center" vertical="center" wrapText="1"/>
    </xf>
    <xf numFmtId="0" fontId="219" fillId="5" borderId="7" xfId="0" applyFont="1" applyFill="1" applyBorder="1" applyAlignment="1" applyProtection="1">
      <alignment horizontal="center" vertical="center" wrapText="1"/>
    </xf>
    <xf numFmtId="0" fontId="219" fillId="5" borderId="95" xfId="0" applyFont="1" applyFill="1" applyBorder="1" applyAlignment="1" applyProtection="1">
      <alignment horizontal="center" vertical="center"/>
    </xf>
    <xf numFmtId="0" fontId="219" fillId="5" borderId="89" xfId="0" applyFont="1" applyFill="1" applyBorder="1" applyAlignment="1" applyProtection="1">
      <alignment horizontal="center" vertical="center"/>
    </xf>
    <xf numFmtId="0" fontId="219" fillId="0" borderId="30" xfId="0" applyFont="1" applyFill="1" applyBorder="1" applyAlignment="1" applyProtection="1">
      <alignment horizontal="center" vertical="center"/>
    </xf>
    <xf numFmtId="0" fontId="219" fillId="0" borderId="95" xfId="0" applyFont="1" applyFill="1" applyBorder="1" applyAlignment="1" applyProtection="1">
      <alignment horizontal="center" vertical="center"/>
    </xf>
    <xf numFmtId="2" fontId="219" fillId="0" borderId="31" xfId="0" applyNumberFormat="1" applyFont="1" applyFill="1" applyBorder="1" applyAlignment="1" applyProtection="1">
      <alignment horizontal="center" vertical="center"/>
    </xf>
    <xf numFmtId="2" fontId="219" fillId="0" borderId="1" xfId="0" applyNumberFormat="1" applyFont="1" applyFill="1" applyBorder="1" applyAlignment="1" applyProtection="1">
      <alignment horizontal="center" vertical="center"/>
    </xf>
    <xf numFmtId="2" fontId="222" fillId="0" borderId="76" xfId="0" applyNumberFormat="1" applyFont="1" applyFill="1" applyBorder="1" applyAlignment="1" applyProtection="1">
      <alignment horizontal="center" vertical="center"/>
    </xf>
    <xf numFmtId="2" fontId="222" fillId="0" borderId="77" xfId="0" applyNumberFormat="1" applyFont="1" applyFill="1" applyBorder="1" applyAlignment="1" applyProtection="1">
      <alignment horizontal="center" vertical="center"/>
    </xf>
    <xf numFmtId="2" fontId="222" fillId="0" borderId="89" xfId="0" applyNumberFormat="1" applyFont="1" applyFill="1" applyBorder="1" applyAlignment="1" applyProtection="1">
      <alignment horizontal="center" vertical="center"/>
    </xf>
    <xf numFmtId="0" fontId="219" fillId="0" borderId="0" xfId="0" applyFont="1" applyFill="1" applyBorder="1" applyAlignment="1" applyProtection="1">
      <alignment vertical="center"/>
    </xf>
    <xf numFmtId="0" fontId="236" fillId="0" borderId="0" xfId="0" applyFont="1" applyFill="1" applyBorder="1" applyAlignment="1" applyProtection="1">
      <alignment horizontal="center" vertical="center"/>
    </xf>
    <xf numFmtId="0" fontId="236" fillId="0" borderId="0" xfId="0" applyFont="1" applyFill="1" applyBorder="1" applyAlignment="1" applyProtection="1">
      <alignment horizontal="center" vertical="center" wrapText="1"/>
    </xf>
    <xf numFmtId="2" fontId="236" fillId="0" borderId="0" xfId="0" applyNumberFormat="1" applyFont="1" applyFill="1" applyBorder="1" applyAlignment="1" applyProtection="1">
      <alignment horizontal="center" vertical="center"/>
    </xf>
    <xf numFmtId="0" fontId="239" fillId="0" borderId="40" xfId="0" applyFont="1" applyFill="1" applyBorder="1" applyAlignment="1" applyProtection="1">
      <alignment horizontal="right" vertical="center"/>
    </xf>
    <xf numFmtId="0" fontId="239" fillId="0" borderId="3" xfId="0" applyFont="1" applyFill="1" applyBorder="1" applyAlignment="1" applyProtection="1">
      <alignment horizontal="right" vertical="center"/>
    </xf>
    <xf numFmtId="0" fontId="239" fillId="0" borderId="3" xfId="0" applyFont="1" applyFill="1" applyBorder="1" applyAlignment="1" applyProtection="1">
      <alignment horizontal="center" vertical="center"/>
    </xf>
    <xf numFmtId="0" fontId="239" fillId="0" borderId="54" xfId="0" applyFont="1" applyFill="1" applyBorder="1" applyAlignment="1" applyProtection="1">
      <alignment horizontal="right" vertical="center"/>
    </xf>
    <xf numFmtId="0" fontId="239" fillId="0" borderId="5" xfId="0" applyFont="1" applyFill="1" applyBorder="1" applyAlignment="1" applyProtection="1">
      <alignment horizontal="right" vertical="center"/>
    </xf>
    <xf numFmtId="0" fontId="239" fillId="0" borderId="5" xfId="0" applyFont="1" applyFill="1" applyBorder="1" applyAlignment="1" applyProtection="1">
      <alignment horizontal="center" vertical="center"/>
    </xf>
    <xf numFmtId="0" fontId="239" fillId="0" borderId="42" xfId="0" applyFont="1" applyFill="1" applyBorder="1" applyAlignment="1" applyProtection="1">
      <alignment horizontal="right" vertical="center"/>
    </xf>
    <xf numFmtId="0" fontId="239" fillId="0" borderId="8" xfId="0" applyFont="1" applyFill="1" applyBorder="1" applyAlignment="1" applyProtection="1">
      <alignment horizontal="right" vertical="center"/>
    </xf>
    <xf numFmtId="0" fontId="239" fillId="0" borderId="8" xfId="0" applyFont="1" applyFill="1" applyBorder="1" applyAlignment="1" applyProtection="1">
      <alignment horizontal="center" vertical="center"/>
    </xf>
    <xf numFmtId="0" fontId="261" fillId="0" borderId="0" xfId="0" applyFont="1" applyFill="1" applyAlignment="1" applyProtection="1">
      <alignment vertical="center"/>
    </xf>
    <xf numFmtId="0" fontId="261" fillId="0" borderId="0" xfId="0" applyFont="1" applyFill="1" applyAlignment="1" applyProtection="1">
      <alignment horizontal="left" vertical="center"/>
    </xf>
    <xf numFmtId="0" fontId="217" fillId="0" borderId="0" xfId="0" applyFont="1" applyFill="1" applyAlignment="1" applyProtection="1">
      <alignment horizontal="left" vertical="center"/>
    </xf>
    <xf numFmtId="0" fontId="239" fillId="0" borderId="3" xfId="0" applyFont="1" applyFill="1" applyBorder="1" applyAlignment="1" applyProtection="1">
      <alignment vertical="center"/>
    </xf>
    <xf numFmtId="0" fontId="239" fillId="0" borderId="5" xfId="0" applyFont="1" applyFill="1" applyBorder="1" applyAlignment="1" applyProtection="1">
      <alignment vertical="center"/>
    </xf>
    <xf numFmtId="0" fontId="239" fillId="0" borderId="8" xfId="0" applyFont="1" applyFill="1" applyBorder="1" applyAlignment="1" applyProtection="1">
      <alignment vertical="center"/>
    </xf>
    <xf numFmtId="0" fontId="239" fillId="0" borderId="3" xfId="0" applyNumberFormat="1" applyFont="1" applyFill="1" applyBorder="1" applyProtection="1"/>
    <xf numFmtId="0" fontId="239" fillId="0" borderId="3" xfId="0" applyNumberFormat="1" applyFont="1" applyFill="1" applyBorder="1" applyAlignment="1" applyProtection="1">
      <alignment horizontal="center" vertical="center"/>
    </xf>
    <xf numFmtId="0" fontId="239" fillId="0" borderId="5" xfId="0" applyNumberFormat="1" applyFont="1" applyFill="1" applyBorder="1" applyProtection="1"/>
    <xf numFmtId="0" fontId="239" fillId="0" borderId="5" xfId="0" applyNumberFormat="1" applyFont="1" applyFill="1" applyBorder="1" applyAlignment="1" applyProtection="1">
      <alignment horizontal="center" vertical="center"/>
    </xf>
    <xf numFmtId="0" fontId="239" fillId="0" borderId="8" xfId="0" applyNumberFormat="1" applyFont="1" applyFill="1" applyBorder="1" applyProtection="1"/>
    <xf numFmtId="0" fontId="239" fillId="0" borderId="8" xfId="0" applyNumberFormat="1" applyFont="1" applyFill="1" applyBorder="1" applyAlignment="1" applyProtection="1">
      <alignment horizontal="center" vertical="center"/>
    </xf>
    <xf numFmtId="0" fontId="239" fillId="0" borderId="8" xfId="0" applyFont="1" applyFill="1" applyBorder="1" applyAlignment="1" applyProtection="1">
      <alignment horizontal="left" vertical="center"/>
    </xf>
    <xf numFmtId="0" fontId="215" fillId="0" borderId="3" xfId="0" applyFont="1" applyFill="1" applyBorder="1" applyAlignment="1" applyProtection="1">
      <alignment vertical="center"/>
    </xf>
    <xf numFmtId="0" fontId="215" fillId="0" borderId="8" xfId="0" applyFont="1" applyFill="1" applyBorder="1" applyAlignment="1" applyProtection="1">
      <alignment vertical="center"/>
    </xf>
    <xf numFmtId="0" fontId="215" fillId="0" borderId="40" xfId="0" applyFont="1" applyFill="1" applyBorder="1" applyAlignment="1" applyProtection="1">
      <alignment vertical="center"/>
    </xf>
    <xf numFmtId="0" fontId="218" fillId="0" borderId="0" xfId="0" applyFont="1" applyFill="1" applyBorder="1" applyAlignment="1" applyProtection="1">
      <alignment horizontal="left" vertical="center"/>
    </xf>
    <xf numFmtId="0" fontId="236" fillId="0" borderId="5" xfId="0" applyFont="1" applyFill="1" applyBorder="1" applyAlignment="1" applyProtection="1">
      <alignment horizontal="right" vertical="center"/>
    </xf>
    <xf numFmtId="0" fontId="264" fillId="0" borderId="8" xfId="0" applyFont="1" applyFill="1" applyBorder="1" applyAlignment="1" applyProtection="1">
      <alignment horizontal="center" vertical="center"/>
    </xf>
    <xf numFmtId="0" fontId="239" fillId="0" borderId="3" xfId="0" applyFont="1" applyFill="1" applyBorder="1" applyAlignment="1" applyProtection="1">
      <alignment horizontal="left" vertical="center"/>
    </xf>
    <xf numFmtId="0" fontId="239" fillId="0" borderId="0" xfId="0" applyFont="1" applyFill="1" applyBorder="1" applyAlignment="1" applyProtection="1">
      <alignment vertical="center"/>
    </xf>
    <xf numFmtId="0" fontId="228" fillId="0" borderId="0" xfId="0" applyFont="1" applyFill="1" applyBorder="1" applyAlignment="1" applyProtection="1">
      <alignment vertical="center"/>
    </xf>
    <xf numFmtId="0" fontId="239" fillId="0" borderId="0" xfId="0" applyFont="1" applyFill="1" applyBorder="1" applyAlignment="1" applyProtection="1">
      <alignment vertical="center" wrapText="1"/>
    </xf>
    <xf numFmtId="0" fontId="262" fillId="5" borderId="74" xfId="0" applyFont="1" applyFill="1" applyBorder="1" applyAlignment="1" applyProtection="1">
      <alignment horizontal="center" vertical="center" wrapText="1"/>
    </xf>
    <xf numFmtId="0" fontId="219" fillId="0" borderId="45" xfId="0" applyFont="1" applyFill="1" applyBorder="1" applyAlignment="1" applyProtection="1">
      <alignment horizontal="center" vertical="center"/>
    </xf>
    <xf numFmtId="0" fontId="236" fillId="0" borderId="24" xfId="0" applyFont="1" applyFill="1" applyBorder="1" applyAlignment="1" applyProtection="1">
      <alignment horizontal="center" vertical="center" wrapText="1"/>
    </xf>
    <xf numFmtId="0" fontId="219" fillId="0" borderId="45" xfId="0" applyFont="1" applyFill="1" applyBorder="1" applyAlignment="1" applyProtection="1">
      <alignment horizontal="center" vertical="center" wrapText="1"/>
    </xf>
    <xf numFmtId="2" fontId="219" fillId="0" borderId="45" xfId="0" applyNumberFormat="1" applyFont="1" applyFill="1" applyBorder="1" applyAlignment="1" applyProtection="1">
      <alignment horizontal="center" vertical="center"/>
    </xf>
    <xf numFmtId="0" fontId="215" fillId="0" borderId="93" xfId="0" applyFont="1" applyFill="1" applyBorder="1" applyAlignment="1" applyProtection="1">
      <alignment vertical="center"/>
    </xf>
    <xf numFmtId="0" fontId="245" fillId="0" borderId="24" xfId="0" applyFont="1" applyFill="1" applyBorder="1" applyAlignment="1" applyProtection="1">
      <alignment vertical="center"/>
    </xf>
    <xf numFmtId="0" fontId="167"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xf>
    <xf numFmtId="0" fontId="91" fillId="0" borderId="0" xfId="0" applyFont="1" applyFill="1" applyBorder="1" applyAlignment="1" applyProtection="1">
      <alignment horizontal="right"/>
    </xf>
    <xf numFmtId="0" fontId="67" fillId="0" borderId="0" xfId="0" applyFont="1" applyFill="1" applyBorder="1" applyAlignment="1" applyProtection="1"/>
    <xf numFmtId="0" fontId="67" fillId="19" borderId="51" xfId="0" applyFont="1" applyFill="1" applyBorder="1" applyAlignment="1" applyProtection="1">
      <alignment vertical="center"/>
    </xf>
    <xf numFmtId="0" fontId="36" fillId="19" borderId="0" xfId="0" applyFont="1" applyFill="1" applyBorder="1" applyAlignment="1" applyProtection="1">
      <alignment horizontal="center"/>
    </xf>
    <xf numFmtId="0" fontId="5" fillId="19" borderId="0" xfId="0" applyFont="1" applyFill="1" applyBorder="1" applyAlignment="1" applyProtection="1">
      <alignment vertical="center"/>
    </xf>
    <xf numFmtId="0" fontId="197" fillId="13" borderId="55" xfId="0" applyFont="1" applyFill="1" applyBorder="1" applyAlignment="1" applyProtection="1">
      <alignment horizontal="right" vertical="center"/>
    </xf>
    <xf numFmtId="0" fontId="229" fillId="0" borderId="15" xfId="0" applyFont="1" applyFill="1" applyBorder="1" applyAlignment="1" applyProtection="1">
      <alignment horizontal="left" vertical="center"/>
    </xf>
    <xf numFmtId="0" fontId="67" fillId="7" borderId="0" xfId="0" applyFont="1" applyFill="1" applyAlignment="1" applyProtection="1">
      <alignment vertical="center"/>
    </xf>
    <xf numFmtId="0" fontId="74" fillId="7" borderId="0" xfId="0" applyFont="1" applyFill="1" applyAlignment="1" applyProtection="1">
      <alignment horizontal="left"/>
    </xf>
    <xf numFmtId="0" fontId="16" fillId="0" borderId="24" xfId="0" applyFont="1" applyFill="1" applyBorder="1" applyAlignment="1" applyProtection="1">
      <alignment vertical="center"/>
    </xf>
    <xf numFmtId="0" fontId="219" fillId="0" borderId="3" xfId="0" applyFont="1" applyFill="1" applyBorder="1" applyAlignment="1" applyProtection="1">
      <alignment horizontal="right" vertical="center" wrapText="1"/>
    </xf>
    <xf numFmtId="0" fontId="215" fillId="0" borderId="16" xfId="0" applyFont="1" applyFill="1" applyBorder="1" applyAlignment="1" applyProtection="1">
      <alignment vertical="center"/>
    </xf>
    <xf numFmtId="170" fontId="98" fillId="7" borderId="31" xfId="0" applyNumberFormat="1" applyFont="1" applyFill="1" applyBorder="1" applyAlignment="1" applyProtection="1">
      <alignment horizontal="center" vertical="center"/>
      <protection locked="0"/>
    </xf>
    <xf numFmtId="170" fontId="98" fillId="7" borderId="2" xfId="0" applyNumberFormat="1" applyFont="1" applyFill="1" applyBorder="1" applyAlignment="1" applyProtection="1">
      <alignment horizontal="center" vertical="center"/>
      <protection locked="0"/>
    </xf>
    <xf numFmtId="0" fontId="105" fillId="0" borderId="16" xfId="0" applyFont="1" applyFill="1" applyBorder="1" applyAlignment="1" applyProtection="1">
      <alignment horizontal="right" vertical="center"/>
    </xf>
    <xf numFmtId="0" fontId="220" fillId="0" borderId="0" xfId="0" applyFont="1" applyFill="1" applyBorder="1" applyAlignment="1" applyProtection="1">
      <alignment vertical="center"/>
    </xf>
    <xf numFmtId="0" fontId="69" fillId="7" borderId="0" xfId="0" applyFont="1" applyFill="1" applyBorder="1" applyAlignment="1" applyProtection="1">
      <alignment vertical="center"/>
    </xf>
    <xf numFmtId="172" fontId="219" fillId="0" borderId="31" xfId="0" applyNumberFormat="1" applyFont="1" applyFill="1" applyBorder="1" applyAlignment="1" applyProtection="1">
      <alignment horizontal="center" vertical="center"/>
    </xf>
    <xf numFmtId="0" fontId="9" fillId="4" borderId="7" xfId="0" applyFont="1" applyFill="1" applyBorder="1" applyAlignment="1" applyProtection="1">
      <alignment horizontal="center" vertical="center" wrapText="1"/>
    </xf>
    <xf numFmtId="0" fontId="229" fillId="0" borderId="10" xfId="0" applyFont="1" applyFill="1" applyBorder="1" applyAlignment="1" applyProtection="1">
      <alignment horizontal="left" vertical="center"/>
    </xf>
    <xf numFmtId="0" fontId="257" fillId="23" borderId="0" xfId="0" applyFont="1" applyFill="1" applyBorder="1" applyAlignment="1" applyProtection="1">
      <alignment horizontal="left" vertical="center"/>
    </xf>
    <xf numFmtId="187" fontId="219" fillId="0" borderId="22" xfId="0" applyNumberFormat="1" applyFont="1" applyFill="1" applyBorder="1" applyAlignment="1" applyProtection="1">
      <alignment horizontal="left" vertical="center"/>
    </xf>
    <xf numFmtId="0" fontId="155" fillId="22" borderId="85" xfId="0" applyFont="1" applyFill="1" applyBorder="1" applyAlignment="1" applyProtection="1">
      <alignment horizontal="center" vertical="center" wrapText="1"/>
    </xf>
    <xf numFmtId="171" fontId="101" fillId="22" borderId="146" xfId="0" applyNumberFormat="1" applyFont="1" applyFill="1" applyBorder="1" applyAlignment="1" applyProtection="1">
      <alignment horizontal="center" vertical="center"/>
    </xf>
    <xf numFmtId="1" fontId="102" fillId="22" borderId="84" xfId="0" applyNumberFormat="1" applyFont="1" applyFill="1" applyBorder="1" applyAlignment="1" applyProtection="1">
      <alignment horizontal="center" vertical="center"/>
    </xf>
    <xf numFmtId="180" fontId="102" fillId="22" borderId="77" xfId="0" applyNumberFormat="1" applyFont="1" applyFill="1" applyBorder="1" applyAlignment="1" applyProtection="1">
      <alignment horizontal="center" vertical="center"/>
    </xf>
    <xf numFmtId="172" fontId="102" fillId="22" borderId="146" xfId="0" applyNumberFormat="1" applyFont="1" applyFill="1" applyBorder="1" applyAlignment="1" applyProtection="1">
      <alignment horizontal="center" vertical="center"/>
    </xf>
    <xf numFmtId="0" fontId="102" fillId="22" borderId="76" xfId="0" applyFont="1" applyFill="1" applyBorder="1" applyAlignment="1" applyProtection="1">
      <alignment horizontal="center" vertical="center"/>
    </xf>
    <xf numFmtId="0" fontId="102" fillId="22" borderId="84" xfId="0" applyFont="1" applyFill="1" applyBorder="1" applyAlignment="1" applyProtection="1">
      <alignment horizontal="center" vertical="center" wrapText="1"/>
    </xf>
    <xf numFmtId="0" fontId="102" fillId="22" borderId="106" xfId="0" applyFont="1" applyFill="1" applyBorder="1" applyAlignment="1" applyProtection="1">
      <alignment horizontal="center" vertical="center" wrapText="1"/>
    </xf>
    <xf numFmtId="0" fontId="102" fillId="22" borderId="146" xfId="0" applyFont="1" applyFill="1" applyBorder="1" applyAlignment="1" applyProtection="1">
      <alignment horizontal="center" vertical="center"/>
    </xf>
    <xf numFmtId="0" fontId="102" fillId="22" borderId="132" xfId="0" applyFont="1" applyFill="1" applyBorder="1" applyAlignment="1" applyProtection="1">
      <alignment horizontal="center" vertical="center"/>
    </xf>
    <xf numFmtId="0" fontId="102" fillId="22" borderId="106" xfId="0" applyFont="1" applyFill="1" applyBorder="1" applyAlignment="1" applyProtection="1">
      <alignment horizontal="center" vertical="center"/>
    </xf>
    <xf numFmtId="0" fontId="102" fillId="22" borderId="111" xfId="0" applyFont="1" applyFill="1" applyBorder="1" applyAlignment="1" applyProtection="1">
      <alignment horizontal="center" vertical="center" wrapText="1"/>
    </xf>
    <xf numFmtId="185" fontId="102" fillId="22" borderId="84" xfId="0" applyNumberFormat="1" applyFont="1" applyFill="1" applyBorder="1" applyAlignment="1" applyProtection="1">
      <alignment horizontal="center" vertical="center" wrapText="1"/>
    </xf>
    <xf numFmtId="170" fontId="102" fillId="22" borderId="84" xfId="0" applyNumberFormat="1" applyFont="1" applyFill="1" applyBorder="1" applyAlignment="1" applyProtection="1">
      <alignment horizontal="center" vertical="center" wrapText="1"/>
    </xf>
    <xf numFmtId="183" fontId="102" fillId="22" borderId="84" xfId="0" applyNumberFormat="1" applyFont="1" applyFill="1" applyBorder="1" applyAlignment="1" applyProtection="1">
      <alignment horizontal="center" vertical="center"/>
    </xf>
    <xf numFmtId="0" fontId="151" fillId="18" borderId="51" xfId="0" applyFont="1" applyFill="1" applyBorder="1" applyAlignment="1" applyProtection="1">
      <alignment vertical="top"/>
    </xf>
    <xf numFmtId="0" fontId="165" fillId="18" borderId="51" xfId="0" applyFont="1" applyFill="1" applyBorder="1" applyAlignment="1" applyProtection="1">
      <alignment horizontal="left" vertical="top"/>
    </xf>
    <xf numFmtId="0" fontId="32" fillId="18" borderId="28" xfId="0" applyFont="1" applyFill="1" applyBorder="1" applyAlignment="1" applyProtection="1">
      <alignment vertical="center"/>
    </xf>
    <xf numFmtId="0" fontId="38" fillId="0" borderId="0" xfId="0" applyFont="1" applyFill="1" applyAlignment="1" applyProtection="1"/>
    <xf numFmtId="0" fontId="38" fillId="0" borderId="24" xfId="0" applyFont="1" applyFill="1" applyBorder="1" applyAlignment="1" applyProtection="1"/>
    <xf numFmtId="0" fontId="13" fillId="0" borderId="4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97" fillId="0" borderId="0" xfId="0" applyFont="1" applyFill="1" applyBorder="1" applyAlignment="1" applyProtection="1">
      <alignment vertical="center"/>
    </xf>
    <xf numFmtId="0" fontId="88" fillId="13" borderId="0" xfId="0" applyFont="1" applyFill="1" applyAlignment="1" applyProtection="1">
      <alignment horizontal="left" vertical="center" wrapText="1" indent="1"/>
    </xf>
    <xf numFmtId="0" fontId="11"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35" fillId="11" borderId="102" xfId="0" applyFont="1" applyFill="1" applyBorder="1" applyAlignment="1" applyProtection="1">
      <alignment vertical="center"/>
    </xf>
    <xf numFmtId="0" fontId="9" fillId="0" borderId="6"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165" fontId="236" fillId="0" borderId="111" xfId="0" applyNumberFormat="1" applyFont="1" applyFill="1" applyBorder="1" applyAlignment="1" applyProtection="1">
      <alignment horizontal="center" vertical="center"/>
    </xf>
    <xf numFmtId="188" fontId="47" fillId="0" borderId="0" xfId="0" applyNumberFormat="1" applyFont="1" applyFill="1" applyBorder="1" applyAlignment="1" applyProtection="1">
      <alignment vertical="top"/>
    </xf>
    <xf numFmtId="184" fontId="236" fillId="0" borderId="111" xfId="0" applyNumberFormat="1" applyFont="1" applyFill="1" applyBorder="1" applyAlignment="1" applyProtection="1">
      <alignment horizontal="center" vertical="center"/>
    </xf>
    <xf numFmtId="175" fontId="193" fillId="14" borderId="23" xfId="0" applyNumberFormat="1" applyFont="1" applyFill="1" applyBorder="1" applyAlignment="1" applyProtection="1">
      <alignment horizontal="left" vertical="center"/>
    </xf>
    <xf numFmtId="165" fontId="219" fillId="0" borderId="129" xfId="0" applyNumberFormat="1" applyFont="1" applyFill="1" applyBorder="1" applyAlignment="1" applyProtection="1">
      <alignment horizontal="center" vertical="center" wrapText="1"/>
    </xf>
    <xf numFmtId="0" fontId="219" fillId="0" borderId="73" xfId="0" applyFont="1" applyFill="1" applyBorder="1" applyAlignment="1" applyProtection="1">
      <alignment horizontal="center" vertical="center" wrapText="1"/>
    </xf>
    <xf numFmtId="0" fontId="219" fillId="0" borderId="110" xfId="0" applyFont="1" applyFill="1" applyBorder="1" applyAlignment="1" applyProtection="1">
      <alignment horizontal="center" vertical="center"/>
    </xf>
    <xf numFmtId="0" fontId="219" fillId="0" borderId="73" xfId="0" applyFont="1" applyFill="1" applyBorder="1" applyAlignment="1" applyProtection="1">
      <alignment horizontal="center" vertical="center"/>
    </xf>
    <xf numFmtId="0" fontId="219" fillId="0" borderId="74" xfId="0" applyFont="1" applyFill="1" applyBorder="1" applyAlignment="1" applyProtection="1">
      <alignment horizontal="center" vertical="center"/>
    </xf>
    <xf numFmtId="0" fontId="222" fillId="0" borderId="45" xfId="0" applyFont="1" applyFill="1" applyBorder="1" applyAlignment="1" applyProtection="1">
      <alignment horizontal="right"/>
    </xf>
    <xf numFmtId="0" fontId="222" fillId="0" borderId="0" xfId="0" applyFont="1" applyFill="1" applyBorder="1" applyAlignment="1" applyProtection="1">
      <alignment horizontal="right" vertical="top"/>
    </xf>
    <xf numFmtId="166" fontId="219" fillId="0" borderId="6" xfId="0" applyNumberFormat="1" applyFont="1" applyFill="1" applyBorder="1" applyAlignment="1" applyProtection="1">
      <alignment horizontal="center" vertical="center"/>
    </xf>
    <xf numFmtId="0" fontId="219" fillId="0" borderId="111" xfId="0" applyNumberFormat="1" applyFont="1" applyFill="1" applyBorder="1" applyAlignment="1" applyProtection="1">
      <alignment horizontal="center" vertical="center"/>
    </xf>
    <xf numFmtId="2" fontId="219" fillId="0" borderId="17" xfId="0" applyNumberFormat="1" applyFont="1" applyFill="1" applyBorder="1" applyAlignment="1" applyProtection="1">
      <alignment horizontal="center" vertical="center"/>
    </xf>
    <xf numFmtId="0" fontId="151" fillId="18" borderId="51" xfId="0" applyFont="1" applyFill="1" applyBorder="1" applyAlignment="1" applyProtection="1">
      <alignment horizontal="left" vertical="center"/>
    </xf>
    <xf numFmtId="0" fontId="270" fillId="0" borderId="0" xfId="0" applyFont="1" applyFill="1" applyAlignment="1" applyProtection="1">
      <alignment vertical="center"/>
    </xf>
    <xf numFmtId="0" fontId="270" fillId="0" borderId="0" xfId="0" applyFont="1" applyFill="1" applyAlignment="1" applyProtection="1">
      <alignment horizontal="left" vertical="center"/>
    </xf>
    <xf numFmtId="0" fontId="236" fillId="0" borderId="0" xfId="0" applyFont="1" applyFill="1" applyBorder="1" applyAlignment="1" applyProtection="1">
      <alignment vertical="center" wrapText="1"/>
    </xf>
    <xf numFmtId="0" fontId="275" fillId="0" borderId="0" xfId="1" applyFont="1" applyFill="1" applyAlignment="1" applyProtection="1">
      <alignment vertical="center"/>
    </xf>
    <xf numFmtId="0" fontId="80" fillId="7" borderId="111" xfId="0" applyFont="1" applyFill="1" applyBorder="1" applyAlignment="1" applyProtection="1">
      <alignment horizontal="center" vertical="center"/>
      <protection locked="0"/>
    </xf>
    <xf numFmtId="0" fontId="70" fillId="7" borderId="54" xfId="0" applyFont="1" applyFill="1" applyBorder="1" applyAlignment="1" applyProtection="1">
      <alignment horizontal="left" vertical="center"/>
      <protection locked="0"/>
    </xf>
    <xf numFmtId="0" fontId="9" fillId="7" borderId="13" xfId="0" applyFont="1" applyFill="1" applyBorder="1" applyAlignment="1" applyProtection="1">
      <alignment horizontal="left" vertical="center"/>
    </xf>
    <xf numFmtId="0" fontId="70" fillId="7" borderId="42" xfId="0" applyFont="1" applyFill="1" applyBorder="1" applyAlignment="1" applyProtection="1">
      <alignment horizontal="left" vertical="center"/>
      <protection locked="0"/>
    </xf>
    <xf numFmtId="0" fontId="9" fillId="7" borderId="23" xfId="0" applyFont="1" applyFill="1" applyBorder="1" applyAlignment="1" applyProtection="1">
      <alignment horizontal="left" vertical="center"/>
    </xf>
    <xf numFmtId="0" fontId="78" fillId="7" borderId="5" xfId="0" applyFont="1" applyFill="1" applyBorder="1" applyAlignment="1" applyProtection="1">
      <alignment horizontal="right" vertical="center"/>
      <protection locked="0"/>
    </xf>
    <xf numFmtId="0" fontId="78" fillId="7" borderId="12" xfId="0" applyFont="1" applyFill="1" applyBorder="1" applyAlignment="1" applyProtection="1">
      <alignment horizontal="left" vertical="center"/>
      <protection locked="0"/>
    </xf>
    <xf numFmtId="0" fontId="78" fillId="7" borderId="11" xfId="0" applyFont="1" applyFill="1" applyBorder="1" applyAlignment="1" applyProtection="1">
      <alignment horizontal="left" vertical="center"/>
      <protection locked="0"/>
    </xf>
    <xf numFmtId="0" fontId="78" fillId="7" borderId="8" xfId="0" applyFont="1" applyFill="1" applyBorder="1" applyAlignment="1" applyProtection="1">
      <alignment horizontal="right" vertical="center"/>
      <protection locked="0"/>
    </xf>
    <xf numFmtId="0" fontId="78" fillId="7" borderId="13" xfId="0" applyFont="1" applyFill="1" applyBorder="1" applyAlignment="1" applyProtection="1">
      <alignment horizontal="left" vertical="center"/>
      <protection locked="0"/>
    </xf>
    <xf numFmtId="0" fontId="78" fillId="7" borderId="23" xfId="0" applyFont="1" applyFill="1" applyBorder="1" applyAlignment="1" applyProtection="1">
      <alignment horizontal="left" vertical="center"/>
      <protection locked="0"/>
    </xf>
    <xf numFmtId="0" fontId="78" fillId="7" borderId="43" xfId="0" applyFont="1" applyFill="1" applyBorder="1" applyAlignment="1" applyProtection="1">
      <alignment horizontal="right" vertical="center"/>
      <protection locked="0"/>
    </xf>
    <xf numFmtId="0" fontId="78" fillId="7" borderId="6" xfId="0" applyFont="1" applyFill="1" applyBorder="1" applyAlignment="1" applyProtection="1">
      <alignment horizontal="left" vertical="center"/>
      <protection locked="0"/>
    </xf>
    <xf numFmtId="0" fontId="278" fillId="0" borderId="0" xfId="0" applyFont="1" applyFill="1" applyBorder="1" applyAlignment="1" applyProtection="1">
      <alignment horizontal="left" vertical="center"/>
    </xf>
    <xf numFmtId="0" fontId="78" fillId="7" borderId="5" xfId="0" applyFont="1" applyFill="1" applyBorder="1" applyAlignment="1" applyProtection="1">
      <alignment vertical="center"/>
      <protection locked="0"/>
    </xf>
    <xf numFmtId="0" fontId="62" fillId="7" borderId="97" xfId="0" applyFont="1" applyFill="1" applyBorder="1" applyAlignment="1" applyProtection="1">
      <alignment horizontal="center" vertical="center"/>
      <protection locked="0"/>
    </xf>
    <xf numFmtId="0" fontId="62" fillId="7" borderId="98" xfId="0" applyFont="1" applyFill="1" applyBorder="1" applyAlignment="1" applyProtection="1">
      <alignment horizontal="center" vertical="center"/>
      <protection locked="0"/>
    </xf>
    <xf numFmtId="0" fontId="62" fillId="7" borderId="99" xfId="0" applyFont="1" applyFill="1" applyBorder="1" applyAlignment="1" applyProtection="1">
      <alignment horizontal="center" vertical="center"/>
      <protection locked="0"/>
    </xf>
    <xf numFmtId="0" fontId="281" fillId="0" borderId="12" xfId="0" applyFont="1" applyFill="1" applyBorder="1" applyAlignment="1" applyProtection="1">
      <alignment horizontal="center" vertical="center" wrapText="1"/>
    </xf>
    <xf numFmtId="0" fontId="70" fillId="7" borderId="43" xfId="0" applyNumberFormat="1" applyFont="1" applyFill="1" applyBorder="1" applyAlignment="1" applyProtection="1">
      <alignment horizontal="right" vertical="center"/>
      <protection locked="0"/>
    </xf>
    <xf numFmtId="0" fontId="70" fillId="7" borderId="54" xfId="0" applyNumberFormat="1" applyFont="1" applyFill="1" applyBorder="1" applyAlignment="1" applyProtection="1">
      <alignment horizontal="right" vertical="center"/>
      <protection locked="0"/>
    </xf>
    <xf numFmtId="169" fontId="70" fillId="7" borderId="120" xfId="0" applyNumberFormat="1" applyFont="1" applyFill="1" applyBorder="1" applyAlignment="1" applyProtection="1">
      <alignment horizontal="right" vertical="center"/>
      <protection locked="0"/>
    </xf>
    <xf numFmtId="0" fontId="6" fillId="7" borderId="129" xfId="0" applyNumberFormat="1" applyFont="1" applyFill="1" applyBorder="1" applyAlignment="1" applyProtection="1">
      <alignment horizontal="center" vertical="center" wrapText="1"/>
      <protection locked="0"/>
    </xf>
    <xf numFmtId="0" fontId="6" fillId="7" borderId="134" xfId="0" applyNumberFormat="1" applyFont="1" applyFill="1" applyBorder="1" applyAlignment="1" applyProtection="1">
      <alignment horizontal="center" vertical="center" wrapText="1"/>
      <protection locked="0"/>
    </xf>
    <xf numFmtId="0" fontId="6" fillId="7" borderId="12" xfId="0" applyNumberFormat="1" applyFont="1" applyFill="1" applyBorder="1" applyAlignment="1" applyProtection="1">
      <alignment horizontal="center" vertical="center" wrapText="1"/>
      <protection locked="0"/>
    </xf>
    <xf numFmtId="0" fontId="6" fillId="7" borderId="30" xfId="0" applyNumberFormat="1" applyFont="1" applyFill="1" applyBorder="1" applyAlignment="1" applyProtection="1">
      <alignment horizontal="center" vertical="center" wrapText="1"/>
      <protection locked="0"/>
    </xf>
    <xf numFmtId="0" fontId="6" fillId="7" borderId="98" xfId="0" applyNumberFormat="1" applyFont="1" applyFill="1" applyBorder="1" applyAlignment="1" applyProtection="1">
      <alignment horizontal="center" vertical="center" wrapText="1"/>
      <protection locked="0"/>
    </xf>
    <xf numFmtId="0" fontId="6" fillId="7" borderId="73" xfId="0" applyNumberFormat="1" applyFont="1" applyFill="1" applyBorder="1" applyAlignment="1" applyProtection="1">
      <alignment horizontal="center" vertical="center" wrapText="1"/>
      <protection locked="0"/>
    </xf>
    <xf numFmtId="0" fontId="6" fillId="7" borderId="11" xfId="0" applyNumberFormat="1" applyFont="1" applyFill="1" applyBorder="1" applyAlignment="1" applyProtection="1">
      <alignment horizontal="center" vertical="center"/>
      <protection locked="0"/>
    </xf>
    <xf numFmtId="0" fontId="6" fillId="7" borderId="95" xfId="0" applyNumberFormat="1" applyFont="1" applyFill="1" applyBorder="1" applyAlignment="1" applyProtection="1">
      <alignment horizontal="center" vertical="center"/>
      <protection locked="0"/>
    </xf>
    <xf numFmtId="0" fontId="6" fillId="7" borderId="100" xfId="0" applyNumberFormat="1" applyFont="1" applyFill="1" applyBorder="1" applyAlignment="1" applyProtection="1">
      <alignment horizontal="center" vertical="center"/>
      <protection locked="0"/>
    </xf>
    <xf numFmtId="0" fontId="282" fillId="0" borderId="132" xfId="0" applyFont="1" applyFill="1" applyBorder="1" applyAlignment="1" applyProtection="1">
      <alignment horizontal="center" vertical="center" wrapText="1"/>
    </xf>
    <xf numFmtId="0" fontId="70" fillId="7" borderId="14" xfId="0" applyFont="1" applyFill="1" applyBorder="1" applyAlignment="1" applyProtection="1">
      <alignment horizontal="center" vertical="center" wrapText="1"/>
    </xf>
    <xf numFmtId="0" fontId="281" fillId="0" borderId="6" xfId="0" applyFont="1" applyFill="1" applyBorder="1" applyAlignment="1" applyProtection="1">
      <alignment horizontal="center" vertical="center" wrapText="1"/>
    </xf>
    <xf numFmtId="0" fontId="281" fillId="0" borderId="13" xfId="0" applyFont="1" applyFill="1" applyBorder="1" applyAlignment="1" applyProtection="1">
      <alignment horizontal="center" vertical="center" wrapText="1"/>
    </xf>
    <xf numFmtId="0" fontId="101" fillId="7" borderId="36" xfId="0" applyFont="1" applyFill="1" applyBorder="1" applyAlignment="1" applyProtection="1">
      <alignment horizontal="left" vertical="center"/>
      <protection locked="0"/>
    </xf>
    <xf numFmtId="164" fontId="101" fillId="7" borderId="34" xfId="0" applyNumberFormat="1" applyFont="1" applyFill="1" applyBorder="1" applyAlignment="1" applyProtection="1">
      <alignment horizontal="left" vertical="center"/>
      <protection locked="0"/>
    </xf>
    <xf numFmtId="0" fontId="101" fillId="7" borderId="33" xfId="0" applyFont="1" applyFill="1" applyBorder="1" applyAlignment="1" applyProtection="1">
      <alignment horizontal="left" vertical="center"/>
      <protection locked="0"/>
    </xf>
    <xf numFmtId="0" fontId="101" fillId="7" borderId="32" xfId="0" applyFont="1" applyFill="1" applyBorder="1" applyAlignment="1" applyProtection="1">
      <alignment horizontal="left" vertical="center"/>
      <protection locked="0"/>
    </xf>
    <xf numFmtId="0" fontId="101" fillId="7" borderId="8" xfId="0" applyFont="1" applyFill="1" applyBorder="1" applyAlignment="1" applyProtection="1">
      <alignment horizontal="left" vertical="center"/>
      <protection locked="0"/>
    </xf>
    <xf numFmtId="168" fontId="70" fillId="7" borderId="4" xfId="0" applyNumberFormat="1" applyFont="1" applyFill="1" applyBorder="1" applyAlignment="1" applyProtection="1">
      <alignment horizontal="left" vertical="center" wrapText="1"/>
      <protection locked="0"/>
    </xf>
    <xf numFmtId="0" fontId="70" fillId="7" borderId="13" xfId="0" applyFont="1" applyFill="1" applyBorder="1" applyAlignment="1" applyProtection="1">
      <alignment horizontal="left" vertical="center" wrapText="1"/>
      <protection locked="0"/>
    </xf>
    <xf numFmtId="0" fontId="70" fillId="7" borderId="23" xfId="0" applyFont="1" applyFill="1" applyBorder="1" applyAlignment="1" applyProtection="1">
      <alignment horizontal="left" vertical="center" wrapText="1"/>
      <protection locked="0"/>
    </xf>
    <xf numFmtId="0" fontId="70" fillId="7" borderId="4" xfId="0" applyFont="1" applyFill="1" applyBorder="1" applyAlignment="1" applyProtection="1">
      <alignment horizontal="left" vertical="center" wrapText="1"/>
      <protection locked="0"/>
    </xf>
    <xf numFmtId="0" fontId="70" fillId="7" borderId="18" xfId="0" applyFont="1" applyFill="1" applyBorder="1" applyAlignment="1" applyProtection="1">
      <alignment horizontal="left" vertical="center" wrapText="1"/>
      <protection locked="0"/>
    </xf>
    <xf numFmtId="0" fontId="70" fillId="7" borderId="19" xfId="0" applyFont="1" applyFill="1" applyBorder="1" applyAlignment="1" applyProtection="1">
      <alignment horizontal="center" vertical="center" wrapText="1"/>
      <protection locked="0"/>
    </xf>
    <xf numFmtId="0" fontId="70" fillId="7" borderId="121" xfId="0" applyFont="1" applyFill="1" applyBorder="1" applyAlignment="1" applyProtection="1">
      <alignment horizontal="center" vertical="center" wrapText="1"/>
      <protection locked="0"/>
    </xf>
    <xf numFmtId="0" fontId="70" fillId="7" borderId="11" xfId="0" applyFont="1" applyFill="1" applyBorder="1" applyAlignment="1" applyProtection="1">
      <alignment horizontal="center" vertical="center" wrapText="1"/>
      <protection locked="0"/>
    </xf>
    <xf numFmtId="0" fontId="83" fillId="7" borderId="4" xfId="0" applyFont="1" applyFill="1" applyBorder="1" applyAlignment="1" applyProtection="1">
      <alignment horizontal="left" vertical="center" wrapText="1"/>
      <protection locked="0"/>
    </xf>
    <xf numFmtId="0" fontId="70" fillId="7" borderId="141" xfId="0" applyFont="1" applyFill="1" applyBorder="1" applyAlignment="1" applyProtection="1">
      <alignment horizontal="left" vertical="center" wrapText="1"/>
      <protection locked="0"/>
    </xf>
    <xf numFmtId="0" fontId="70" fillId="7" borderId="67" xfId="0" applyFont="1" applyFill="1" applyBorder="1" applyAlignment="1" applyProtection="1">
      <alignment horizontal="left" vertical="center" wrapText="1"/>
      <protection locked="0"/>
    </xf>
    <xf numFmtId="0" fontId="283" fillId="0" borderId="77" xfId="0" applyFont="1" applyFill="1" applyBorder="1" applyAlignment="1" applyProtection="1">
      <alignment horizontal="center" vertical="center" wrapText="1"/>
    </xf>
    <xf numFmtId="0" fontId="9" fillId="24" borderId="55" xfId="0" applyFont="1" applyFill="1" applyBorder="1" applyAlignment="1" applyProtection="1">
      <alignment horizontal="center" vertical="center"/>
    </xf>
    <xf numFmtId="0" fontId="287" fillId="7" borderId="64" xfId="0" applyFont="1" applyFill="1" applyBorder="1" applyAlignment="1" applyProtection="1">
      <alignment horizontal="center" vertical="center"/>
      <protection hidden="1"/>
    </xf>
    <xf numFmtId="0" fontId="287" fillId="7" borderId="70" xfId="0" applyFont="1" applyFill="1" applyBorder="1" applyAlignment="1" applyProtection="1">
      <alignment horizontal="center" vertical="center"/>
      <protection hidden="1"/>
    </xf>
    <xf numFmtId="0" fontId="41" fillId="0" borderId="0" xfId="0" applyFont="1" applyFill="1" applyAlignment="1" applyProtection="1">
      <alignment horizontal="left" vertical="center"/>
    </xf>
    <xf numFmtId="173" fontId="213" fillId="0" borderId="0" xfId="0" applyNumberFormat="1" applyFont="1" applyFill="1" applyBorder="1" applyAlignment="1" applyProtection="1">
      <alignment horizontal="left" vertical="top"/>
    </xf>
    <xf numFmtId="0" fontId="289" fillId="0" borderId="0" xfId="0" applyFont="1" applyFill="1" applyAlignment="1" applyProtection="1">
      <alignment horizontal="left" vertical="top"/>
    </xf>
    <xf numFmtId="0" fontId="196" fillId="7" borderId="69" xfId="0" applyFont="1" applyFill="1" applyBorder="1" applyAlignment="1" applyProtection="1">
      <alignment horizontal="center" vertical="center"/>
    </xf>
    <xf numFmtId="0" fontId="196" fillId="7" borderId="64" xfId="0" applyFont="1" applyFill="1" applyBorder="1" applyAlignment="1" applyProtection="1">
      <alignment horizontal="center" vertical="center"/>
    </xf>
    <xf numFmtId="0" fontId="196" fillId="7" borderId="64" xfId="1" applyFont="1" applyFill="1" applyBorder="1" applyAlignment="1" applyProtection="1">
      <alignment horizontal="center" vertical="center"/>
    </xf>
    <xf numFmtId="0" fontId="196" fillId="7" borderId="65" xfId="0" applyFont="1" applyFill="1" applyBorder="1" applyAlignment="1" applyProtection="1">
      <alignment horizontal="center" vertical="center"/>
    </xf>
    <xf numFmtId="0" fontId="287" fillId="7" borderId="64" xfId="1" applyFont="1" applyFill="1" applyBorder="1" applyAlignment="1" applyProtection="1">
      <alignment horizontal="center" vertical="center"/>
      <protection hidden="1"/>
    </xf>
    <xf numFmtId="0" fontId="287" fillId="7" borderId="80" xfId="0" applyFont="1" applyFill="1" applyBorder="1" applyAlignment="1" applyProtection="1">
      <alignment horizontal="center" vertical="center"/>
      <protection hidden="1"/>
    </xf>
    <xf numFmtId="0" fontId="287" fillId="7" borderId="65" xfId="0" applyFont="1" applyFill="1" applyBorder="1" applyAlignment="1" applyProtection="1">
      <alignment horizontal="center" vertical="center"/>
      <protection hidden="1"/>
    </xf>
    <xf numFmtId="0" fontId="287" fillId="7" borderId="69" xfId="0" applyFont="1" applyFill="1" applyBorder="1" applyAlignment="1" applyProtection="1">
      <alignment horizontal="center" vertical="center"/>
      <protection hidden="1"/>
    </xf>
    <xf numFmtId="0" fontId="287" fillId="7" borderId="39" xfId="0" applyFont="1" applyFill="1" applyBorder="1" applyAlignment="1" applyProtection="1">
      <alignment horizontal="center" vertical="center"/>
      <protection hidden="1"/>
    </xf>
    <xf numFmtId="0" fontId="287" fillId="7" borderId="57" xfId="0" applyFont="1" applyFill="1" applyBorder="1" applyAlignment="1" applyProtection="1">
      <alignment horizontal="center" vertical="center"/>
      <protection hidden="1"/>
    </xf>
    <xf numFmtId="0" fontId="287" fillId="7" borderId="58" xfId="0" applyFont="1" applyFill="1" applyBorder="1" applyAlignment="1" applyProtection="1">
      <alignment vertical="center"/>
      <protection hidden="1"/>
    </xf>
    <xf numFmtId="0" fontId="290" fillId="7" borderId="64" xfId="1" applyFont="1" applyFill="1" applyBorder="1" applyAlignment="1" applyProtection="1">
      <alignment horizontal="center" vertical="center"/>
      <protection hidden="1"/>
    </xf>
    <xf numFmtId="0" fontId="196" fillId="7" borderId="70" xfId="0" applyFont="1" applyFill="1" applyBorder="1" applyAlignment="1" applyProtection="1">
      <alignment horizontal="center" vertical="center"/>
    </xf>
    <xf numFmtId="0" fontId="291" fillId="0" borderId="0" xfId="0" applyFont="1" applyAlignment="1" applyProtection="1">
      <alignment vertical="center"/>
    </xf>
    <xf numFmtId="49" fontId="293" fillId="0" borderId="3" xfId="0" applyNumberFormat="1" applyFont="1" applyFill="1" applyBorder="1" applyAlignment="1" applyProtection="1">
      <alignment horizontal="center" vertical="center" wrapText="1"/>
    </xf>
    <xf numFmtId="49" fontId="293" fillId="0" borderId="5" xfId="0" applyNumberFormat="1" applyFont="1" applyFill="1" applyBorder="1" applyAlignment="1" applyProtection="1">
      <alignment horizontal="center" vertical="center" wrapText="1"/>
    </xf>
    <xf numFmtId="49" fontId="293" fillId="0" borderId="81" xfId="0" applyNumberFormat="1" applyFont="1" applyFill="1" applyBorder="1" applyAlignment="1" applyProtection="1">
      <alignment horizontal="center" vertical="center" wrapText="1"/>
    </xf>
    <xf numFmtId="0" fontId="146" fillId="9" borderId="8" xfId="0" applyFont="1" applyFill="1" applyBorder="1" applyAlignment="1" applyProtection="1">
      <alignment vertical="center"/>
      <protection locked="0"/>
    </xf>
    <xf numFmtId="0" fontId="146" fillId="7" borderId="8" xfId="0" applyFont="1" applyFill="1" applyBorder="1" applyAlignment="1" applyProtection="1">
      <alignment vertical="center"/>
      <protection locked="0"/>
    </xf>
    <xf numFmtId="0" fontId="67" fillId="0" borderId="42" xfId="0" applyFont="1" applyFill="1" applyBorder="1" applyAlignment="1" applyProtection="1">
      <alignment vertical="center"/>
    </xf>
    <xf numFmtId="0" fontId="215" fillId="0" borderId="45" xfId="0" applyFont="1" applyFill="1" applyBorder="1" applyAlignment="1" applyProtection="1">
      <alignment vertical="center"/>
    </xf>
    <xf numFmtId="0" fontId="98" fillId="0" borderId="24" xfId="0" applyFont="1" applyFill="1" applyBorder="1" applyAlignment="1" applyProtection="1">
      <alignment horizontal="center" vertical="center"/>
    </xf>
    <xf numFmtId="0" fontId="97" fillId="0" borderId="134" xfId="0" applyFont="1" applyFill="1" applyBorder="1" applyAlignment="1" applyProtection="1">
      <alignment horizontal="left" vertical="center"/>
    </xf>
    <xf numFmtId="0" fontId="14" fillId="0" borderId="0" xfId="0" applyFont="1" applyFill="1" applyBorder="1" applyAlignment="1" applyProtection="1">
      <alignment horizontal="center"/>
    </xf>
    <xf numFmtId="0" fontId="67" fillId="18" borderId="28" xfId="0" applyFont="1" applyFill="1" applyBorder="1" applyAlignment="1" applyProtection="1">
      <alignment vertical="center"/>
    </xf>
    <xf numFmtId="0" fontId="82" fillId="18" borderId="28" xfId="0" applyFont="1" applyFill="1" applyBorder="1" applyAlignment="1" applyProtection="1">
      <alignment horizontal="left"/>
    </xf>
    <xf numFmtId="0" fontId="82" fillId="18" borderId="28" xfId="0" applyFont="1" applyFill="1" applyBorder="1" applyAlignment="1" applyProtection="1">
      <alignment vertical="top"/>
    </xf>
    <xf numFmtId="0" fontId="149" fillId="12" borderId="111" xfId="0" applyFont="1" applyFill="1" applyBorder="1" applyAlignment="1" applyProtection="1">
      <alignment horizontal="center" vertical="center"/>
    </xf>
    <xf numFmtId="0" fontId="16" fillId="0" borderId="93" xfId="0" applyFont="1" applyFill="1" applyBorder="1" applyAlignment="1" applyProtection="1">
      <alignment horizontal="right" vertical="center"/>
    </xf>
    <xf numFmtId="0" fontId="54" fillId="0" borderId="18" xfId="0" applyFont="1" applyFill="1" applyBorder="1" applyAlignment="1" applyProtection="1">
      <alignment horizontal="right" vertical="center"/>
    </xf>
    <xf numFmtId="0" fontId="54" fillId="0" borderId="13" xfId="0" applyFont="1" applyFill="1" applyBorder="1" applyAlignment="1" applyProtection="1">
      <alignment horizontal="right" vertical="center"/>
    </xf>
    <xf numFmtId="0" fontId="54" fillId="0" borderId="23" xfId="0" applyFont="1" applyFill="1" applyBorder="1" applyAlignment="1" applyProtection="1">
      <alignment horizontal="right" vertical="center"/>
    </xf>
    <xf numFmtId="0" fontId="173" fillId="0" borderId="37" xfId="0" applyFont="1" applyFill="1" applyBorder="1" applyAlignment="1" applyProtection="1">
      <alignment horizontal="right" vertical="center"/>
    </xf>
    <xf numFmtId="0" fontId="16" fillId="0" borderId="4" xfId="0" applyFont="1" applyFill="1" applyBorder="1" applyAlignment="1" applyProtection="1">
      <alignment horizontal="right" vertical="center"/>
    </xf>
    <xf numFmtId="0" fontId="15" fillId="0" borderId="28" xfId="0" applyFont="1" applyFill="1" applyBorder="1" applyAlignment="1" applyProtection="1">
      <alignment horizontal="right" vertical="center"/>
    </xf>
    <xf numFmtId="0" fontId="130" fillId="0" borderId="28" xfId="0" applyFont="1" applyFill="1" applyBorder="1" applyAlignment="1" applyProtection="1">
      <alignment horizontal="right" vertical="center"/>
    </xf>
    <xf numFmtId="0" fontId="16" fillId="0" borderId="28" xfId="0" applyFont="1" applyFill="1" applyBorder="1" applyAlignment="1" applyProtection="1">
      <alignment horizontal="right" vertical="center"/>
    </xf>
    <xf numFmtId="0" fontId="16" fillId="0" borderId="22" xfId="0" applyFont="1" applyFill="1" applyBorder="1" applyAlignment="1" applyProtection="1">
      <alignment horizontal="right" vertical="center"/>
    </xf>
    <xf numFmtId="0" fontId="138" fillId="0" borderId="16" xfId="0" applyFont="1" applyFill="1" applyBorder="1" applyAlignment="1" applyProtection="1">
      <alignment horizontal="center" vertical="center"/>
    </xf>
    <xf numFmtId="0" fontId="138" fillId="0" borderId="24" xfId="0" applyFont="1" applyFill="1" applyBorder="1" applyAlignment="1" applyProtection="1">
      <alignment horizontal="center" vertical="top" wrapText="1"/>
    </xf>
    <xf numFmtId="0" fontId="54" fillId="0" borderId="3" xfId="0" applyFont="1" applyFill="1" applyBorder="1" applyAlignment="1" applyProtection="1">
      <alignment horizontal="right" vertical="center"/>
    </xf>
    <xf numFmtId="0" fontId="54" fillId="0" borderId="17" xfId="0" applyFont="1" applyFill="1" applyBorder="1" applyAlignment="1" applyProtection="1">
      <alignment horizontal="right" vertical="center"/>
    </xf>
    <xf numFmtId="0" fontId="150" fillId="0" borderId="136" xfId="0" applyFont="1" applyFill="1" applyBorder="1" applyAlignment="1" applyProtection="1">
      <alignment horizontal="left" vertical="center"/>
    </xf>
    <xf numFmtId="49" fontId="150" fillId="0" borderId="21" xfId="0" applyNumberFormat="1" applyFont="1" applyFill="1" applyBorder="1" applyAlignment="1" applyProtection="1">
      <alignment horizontal="center" vertical="center"/>
    </xf>
    <xf numFmtId="0" fontId="130" fillId="0" borderId="18" xfId="0" applyFont="1" applyFill="1" applyBorder="1" applyAlignment="1" applyProtection="1">
      <alignment horizontal="right" vertical="center" wrapText="1"/>
    </xf>
    <xf numFmtId="0" fontId="16" fillId="0" borderId="18" xfId="0" applyFont="1" applyFill="1" applyBorder="1" applyAlignment="1" applyProtection="1">
      <alignment horizontal="right" vertical="center"/>
    </xf>
    <xf numFmtId="0" fontId="16" fillId="0" borderId="13" xfId="0" applyFont="1" applyFill="1" applyBorder="1" applyAlignment="1" applyProtection="1">
      <alignment horizontal="right" vertical="center"/>
    </xf>
    <xf numFmtId="0" fontId="151" fillId="0" borderId="16" xfId="0" applyFont="1" applyFill="1" applyBorder="1" applyAlignment="1" applyProtection="1">
      <alignment horizontal="right" vertical="center"/>
    </xf>
    <xf numFmtId="0" fontId="138" fillId="0" borderId="5" xfId="0" applyFont="1" applyFill="1" applyBorder="1" applyAlignment="1" applyProtection="1">
      <alignment horizontal="right" vertical="center"/>
    </xf>
    <xf numFmtId="179" fontId="294" fillId="22" borderId="89" xfId="0" applyNumberFormat="1" applyFont="1" applyFill="1" applyBorder="1" applyAlignment="1" applyProtection="1">
      <alignment horizontal="center" vertical="center"/>
    </xf>
    <xf numFmtId="0" fontId="166" fillId="0" borderId="41" xfId="0" applyFont="1" applyFill="1" applyBorder="1" applyAlignment="1" applyProtection="1">
      <alignment vertical="center"/>
      <protection locked="0"/>
    </xf>
    <xf numFmtId="0" fontId="9" fillId="0" borderId="37" xfId="0" applyFont="1" applyFill="1" applyBorder="1" applyAlignment="1" applyProtection="1">
      <alignment horizontal="right" vertical="center"/>
    </xf>
    <xf numFmtId="49" fontId="166" fillId="9" borderId="12" xfId="0" applyNumberFormat="1" applyFont="1" applyFill="1" applyBorder="1" applyAlignment="1" applyProtection="1">
      <alignment horizontal="center" vertical="center"/>
      <protection locked="0"/>
    </xf>
    <xf numFmtId="49" fontId="166" fillId="9" borderId="1" xfId="0" applyNumberFormat="1" applyFont="1" applyFill="1" applyBorder="1" applyAlignment="1" applyProtection="1">
      <alignment horizontal="center" vertical="center"/>
      <protection locked="0"/>
    </xf>
    <xf numFmtId="49" fontId="166" fillId="9" borderId="30" xfId="0" applyNumberFormat="1" applyFont="1" applyFill="1" applyBorder="1" applyAlignment="1" applyProtection="1">
      <alignment horizontal="center" vertical="center"/>
      <protection locked="0"/>
    </xf>
    <xf numFmtId="0" fontId="14" fillId="4" borderId="103" xfId="0" applyFont="1" applyFill="1" applyBorder="1" applyAlignment="1" applyProtection="1">
      <alignment vertical="center" wrapText="1"/>
    </xf>
    <xf numFmtId="0" fontId="16" fillId="0" borderId="96" xfId="0" applyFont="1" applyFill="1" applyBorder="1" applyAlignment="1" applyProtection="1">
      <alignment vertical="center" wrapText="1"/>
    </xf>
    <xf numFmtId="0" fontId="218" fillId="5" borderId="29" xfId="0" applyFont="1" applyFill="1" applyBorder="1" applyAlignment="1" applyProtection="1">
      <alignment horizontal="center" vertical="center"/>
    </xf>
    <xf numFmtId="0" fontId="223" fillId="0" borderId="21" xfId="0" applyFont="1" applyFill="1" applyBorder="1" applyAlignment="1" applyProtection="1">
      <alignment horizontal="left" vertical="center"/>
    </xf>
    <xf numFmtId="0" fontId="223" fillId="0" borderId="4" xfId="0" applyFont="1" applyFill="1" applyBorder="1" applyAlignment="1" applyProtection="1">
      <alignment horizontal="left" vertical="center"/>
    </xf>
    <xf numFmtId="0" fontId="151" fillId="18" borderId="51" xfId="0" applyFont="1" applyFill="1" applyBorder="1" applyAlignment="1" applyProtection="1">
      <alignment vertical="center"/>
    </xf>
    <xf numFmtId="0" fontId="222" fillId="0" borderId="19" xfId="0" applyFont="1" applyFill="1" applyBorder="1" applyAlignment="1" applyProtection="1">
      <alignment horizontal="center" vertical="center"/>
    </xf>
    <xf numFmtId="0" fontId="222" fillId="0" borderId="45" xfId="0" applyFont="1" applyFill="1" applyBorder="1" applyAlignment="1" applyProtection="1">
      <alignment horizontal="center" vertical="center" wrapText="1"/>
    </xf>
    <xf numFmtId="0" fontId="222" fillId="0" borderId="46" xfId="0" applyFont="1" applyFill="1" applyBorder="1" applyAlignment="1" applyProtection="1">
      <alignment horizontal="center" vertical="center" wrapText="1"/>
    </xf>
    <xf numFmtId="0" fontId="222" fillId="0" borderId="25"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38" fillId="18" borderId="51" xfId="0" applyFont="1" applyFill="1" applyBorder="1" applyAlignment="1" applyProtection="1">
      <alignment horizontal="left" vertical="center"/>
    </xf>
    <xf numFmtId="0" fontId="138" fillId="18" borderId="28" xfId="0" applyFont="1" applyFill="1" applyBorder="1" applyAlignment="1" applyProtection="1">
      <alignment horizontal="left" vertical="center"/>
    </xf>
    <xf numFmtId="0" fontId="28" fillId="0" borderId="0" xfId="0" applyFont="1" applyBorder="1" applyAlignment="1" applyProtection="1">
      <alignment horizontal="center" vertical="center"/>
    </xf>
    <xf numFmtId="0" fontId="219" fillId="0" borderId="8" xfId="0" applyFont="1" applyFill="1" applyBorder="1" applyAlignment="1" applyProtection="1">
      <alignment horizontal="right" vertical="center"/>
    </xf>
    <xf numFmtId="0" fontId="219" fillId="0" borderId="11" xfId="0" applyFont="1" applyFill="1" applyBorder="1" applyAlignment="1" applyProtection="1">
      <alignment horizontal="right" vertical="center"/>
    </xf>
    <xf numFmtId="0" fontId="222" fillId="0" borderId="0" xfId="0" applyFont="1" applyFill="1" applyBorder="1" applyAlignment="1" applyProtection="1">
      <alignment horizontal="left" vertical="center"/>
    </xf>
    <xf numFmtId="0" fontId="222" fillId="0" borderId="44" xfId="0"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229" fillId="0" borderId="9" xfId="0" applyFont="1" applyFill="1" applyBorder="1" applyAlignment="1" applyProtection="1">
      <alignment horizontal="left" vertical="center"/>
    </xf>
    <xf numFmtId="0" fontId="222" fillId="0" borderId="41" xfId="0" applyFont="1" applyFill="1" applyBorder="1" applyAlignment="1" applyProtection="1">
      <alignment horizontal="center" vertical="center"/>
    </xf>
    <xf numFmtId="0" fontId="222" fillId="0" borderId="25" xfId="0" applyFont="1" applyFill="1" applyBorder="1" applyAlignment="1" applyProtection="1">
      <alignment horizontal="center" vertical="center"/>
    </xf>
    <xf numFmtId="0" fontId="222" fillId="0" borderId="17" xfId="0" applyFont="1" applyFill="1" applyBorder="1" applyAlignment="1" applyProtection="1">
      <alignment horizontal="center" vertical="center"/>
    </xf>
    <xf numFmtId="0" fontId="257" fillId="0" borderId="45" xfId="0" applyFont="1" applyFill="1" applyBorder="1" applyAlignment="1" applyProtection="1">
      <alignment horizontal="left" vertical="center"/>
    </xf>
    <xf numFmtId="0" fontId="257" fillId="0" borderId="93" xfId="0" applyFont="1" applyFill="1" applyBorder="1" applyAlignment="1" applyProtection="1">
      <alignment horizontal="left" vertical="center"/>
    </xf>
    <xf numFmtId="0" fontId="222" fillId="0" borderId="3" xfId="0" applyFont="1" applyFill="1" applyBorder="1" applyAlignment="1" applyProtection="1">
      <alignment vertical="center"/>
    </xf>
    <xf numFmtId="0" fontId="222" fillId="0" borderId="46" xfId="0" applyFont="1" applyFill="1" applyBorder="1" applyAlignment="1" applyProtection="1">
      <alignment horizontal="center" vertical="center"/>
    </xf>
    <xf numFmtId="0" fontId="216" fillId="0" borderId="0" xfId="0" applyFont="1" applyFill="1" applyBorder="1" applyAlignment="1" applyProtection="1">
      <alignment horizontal="center"/>
    </xf>
    <xf numFmtId="0" fontId="218" fillId="0" borderId="93" xfId="0" applyFont="1" applyFill="1" applyBorder="1" applyAlignment="1" applyProtection="1">
      <alignment horizontal="center" vertical="center"/>
    </xf>
    <xf numFmtId="0" fontId="219" fillId="0" borderId="54" xfId="0" applyFont="1" applyFill="1" applyBorder="1" applyAlignment="1" applyProtection="1">
      <alignment horizontal="right" vertical="center"/>
    </xf>
    <xf numFmtId="0" fontId="219" fillId="0" borderId="5" xfId="0" applyFont="1" applyFill="1" applyBorder="1" applyAlignment="1" applyProtection="1">
      <alignment horizontal="right" vertical="center"/>
    </xf>
    <xf numFmtId="0" fontId="219" fillId="0" borderId="12" xfId="0" applyFont="1" applyFill="1" applyBorder="1" applyAlignment="1" applyProtection="1">
      <alignment horizontal="right" vertical="center"/>
    </xf>
    <xf numFmtId="0" fontId="30" fillId="0" borderId="0" xfId="0" applyFont="1" applyAlignment="1" applyProtection="1">
      <alignment horizontal="left" vertical="top" wrapText="1"/>
    </xf>
    <xf numFmtId="0" fontId="234" fillId="0" borderId="45" xfId="0" applyFont="1" applyFill="1" applyBorder="1" applyAlignment="1" applyProtection="1">
      <alignment horizontal="center" vertical="center"/>
    </xf>
    <xf numFmtId="0" fontId="234" fillId="0" borderId="24" xfId="0" applyFont="1" applyFill="1" applyBorder="1" applyAlignment="1" applyProtection="1">
      <alignment horizontal="center" vertical="center"/>
    </xf>
    <xf numFmtId="0" fontId="16" fillId="0" borderId="26" xfId="0" applyFont="1" applyBorder="1" applyAlignment="1" applyProtection="1">
      <alignment horizontal="right" vertical="center"/>
    </xf>
    <xf numFmtId="0" fontId="3" fillId="0" borderId="0" xfId="0" applyFont="1" applyFill="1" applyBorder="1" applyAlignment="1" applyProtection="1">
      <alignment horizontal="center" vertical="center" wrapText="1"/>
    </xf>
    <xf numFmtId="0" fontId="16" fillId="4" borderId="104" xfId="0" applyFont="1" applyFill="1" applyBorder="1" applyAlignment="1" applyProtection="1">
      <alignment wrapText="1"/>
    </xf>
    <xf numFmtId="0" fontId="290" fillId="7" borderId="57" xfId="1" applyFont="1" applyFill="1" applyBorder="1" applyAlignment="1" applyProtection="1">
      <alignment horizontal="center" vertical="center"/>
      <protection hidden="1"/>
    </xf>
    <xf numFmtId="0" fontId="16" fillId="0" borderId="0" xfId="0" applyFont="1" applyFill="1" applyBorder="1" applyAlignment="1" applyProtection="1">
      <alignment horizontal="right" vertical="center" wrapText="1"/>
    </xf>
    <xf numFmtId="0" fontId="16" fillId="0" borderId="121" xfId="0" applyFont="1" applyFill="1" applyBorder="1" applyAlignment="1" applyProtection="1">
      <alignment horizontal="right" vertical="center" wrapText="1"/>
    </xf>
    <xf numFmtId="0" fontId="16" fillId="0" borderId="114" xfId="0" applyFont="1" applyFill="1" applyBorder="1" applyAlignment="1" applyProtection="1">
      <alignment vertical="center" wrapText="1"/>
    </xf>
    <xf numFmtId="0" fontId="16" fillId="0" borderId="132" xfId="0" applyFont="1" applyFill="1" applyBorder="1" applyAlignment="1" applyProtection="1">
      <alignment horizontal="center" vertical="center" wrapText="1"/>
    </xf>
    <xf numFmtId="49" fontId="166" fillId="9" borderId="42" xfId="0" applyNumberFormat="1" applyFont="1" applyFill="1" applyBorder="1" applyAlignment="1" applyProtection="1">
      <alignment horizontal="left" vertical="center"/>
      <protection locked="0"/>
    </xf>
    <xf numFmtId="0" fontId="271" fillId="7" borderId="3" xfId="0" applyFont="1" applyFill="1" applyBorder="1" applyAlignment="1" applyProtection="1">
      <alignment horizontal="left" vertical="center"/>
      <protection locked="0"/>
    </xf>
    <xf numFmtId="49" fontId="272" fillId="7" borderId="4" xfId="0" applyNumberFormat="1" applyFont="1" applyFill="1" applyBorder="1" applyAlignment="1" applyProtection="1">
      <alignment horizontal="left"/>
      <protection locked="0"/>
    </xf>
    <xf numFmtId="49" fontId="272" fillId="7" borderId="3" xfId="0" applyNumberFormat="1" applyFont="1" applyFill="1" applyBorder="1" applyAlignment="1" applyProtection="1">
      <alignment horizontal="left"/>
      <protection locked="0"/>
    </xf>
    <xf numFmtId="49" fontId="271" fillId="7" borderId="3" xfId="0" applyNumberFormat="1" applyFont="1" applyFill="1" applyBorder="1" applyAlignment="1" applyProtection="1">
      <alignment horizontal="left"/>
      <protection locked="0"/>
    </xf>
    <xf numFmtId="0" fontId="45" fillId="7" borderId="4" xfId="0" applyFont="1" applyFill="1" applyBorder="1" applyAlignment="1" applyProtection="1">
      <alignment vertical="center"/>
      <protection locked="0"/>
    </xf>
    <xf numFmtId="0" fontId="271" fillId="7" borderId="5" xfId="0" applyFont="1" applyFill="1" applyBorder="1" applyAlignment="1" applyProtection="1">
      <alignment horizontal="left" vertical="center"/>
      <protection locked="0"/>
    </xf>
    <xf numFmtId="49" fontId="272" fillId="7" borderId="13" xfId="0" applyNumberFormat="1" applyFont="1" applyFill="1" applyBorder="1" applyAlignment="1" applyProtection="1">
      <alignment horizontal="left"/>
      <protection locked="0"/>
    </xf>
    <xf numFmtId="49" fontId="272" fillId="7" borderId="5" xfId="0" applyNumberFormat="1" applyFont="1" applyFill="1" applyBorder="1" applyAlignment="1" applyProtection="1">
      <alignment horizontal="left"/>
      <protection locked="0"/>
    </xf>
    <xf numFmtId="49" fontId="271" fillId="7" borderId="5" xfId="0" applyNumberFormat="1" applyFont="1" applyFill="1" applyBorder="1" applyAlignment="1" applyProtection="1">
      <alignment horizontal="left"/>
      <protection locked="0"/>
    </xf>
    <xf numFmtId="0" fontId="45" fillId="7" borderId="13" xfId="0" applyFont="1" applyFill="1" applyBorder="1" applyAlignment="1" applyProtection="1">
      <alignment vertical="center"/>
      <protection locked="0"/>
    </xf>
    <xf numFmtId="49" fontId="272" fillId="7" borderId="23" xfId="0" applyNumberFormat="1" applyFont="1" applyFill="1" applyBorder="1" applyAlignment="1" applyProtection="1">
      <alignment horizontal="left"/>
      <protection locked="0"/>
    </xf>
    <xf numFmtId="49" fontId="272" fillId="7" borderId="8" xfId="0" applyNumberFormat="1" applyFont="1" applyFill="1" applyBorder="1" applyAlignment="1" applyProtection="1">
      <alignment horizontal="left"/>
      <protection locked="0"/>
    </xf>
    <xf numFmtId="49" fontId="271" fillId="7" borderId="8" xfId="0" applyNumberFormat="1" applyFont="1" applyFill="1" applyBorder="1" applyAlignment="1" applyProtection="1">
      <alignment horizontal="left"/>
      <protection locked="0"/>
    </xf>
    <xf numFmtId="0" fontId="45" fillId="7" borderId="23" xfId="0" applyFont="1" applyFill="1" applyBorder="1" applyAlignment="1" applyProtection="1">
      <alignment vertical="center"/>
      <protection locked="0"/>
    </xf>
    <xf numFmtId="0" fontId="272" fillId="7" borderId="4" xfId="0" applyFont="1" applyFill="1" applyBorder="1" applyAlignment="1" applyProtection="1">
      <alignment vertical="center"/>
      <protection locked="0"/>
    </xf>
    <xf numFmtId="0" fontId="272" fillId="7" borderId="3" xfId="0" applyFont="1" applyFill="1" applyBorder="1" applyAlignment="1" applyProtection="1">
      <alignment vertical="center"/>
      <protection locked="0"/>
    </xf>
    <xf numFmtId="0" fontId="271" fillId="7" borderId="3" xfId="0" applyFont="1" applyFill="1" applyBorder="1" applyAlignment="1" applyProtection="1">
      <alignment vertical="center"/>
      <protection locked="0"/>
    </xf>
    <xf numFmtId="0" fontId="273" fillId="7" borderId="4" xfId="0" applyFont="1" applyFill="1" applyBorder="1" applyAlignment="1" applyProtection="1">
      <alignment vertical="center"/>
      <protection locked="0"/>
    </xf>
    <xf numFmtId="0" fontId="273" fillId="7" borderId="13" xfId="0" applyFont="1" applyFill="1" applyBorder="1" applyAlignment="1" applyProtection="1">
      <alignment vertical="center"/>
      <protection locked="0"/>
    </xf>
    <xf numFmtId="49" fontId="272" fillId="7" borderId="13" xfId="0" applyNumberFormat="1" applyFont="1" applyFill="1" applyBorder="1" applyAlignment="1" applyProtection="1">
      <alignment horizontal="left" vertical="center"/>
      <protection locked="0"/>
    </xf>
    <xf numFmtId="49" fontId="272" fillId="7" borderId="5" xfId="0" applyNumberFormat="1" applyFont="1" applyFill="1" applyBorder="1" applyAlignment="1" applyProtection="1">
      <alignment horizontal="left" vertical="center"/>
      <protection locked="0"/>
    </xf>
    <xf numFmtId="0" fontId="271" fillId="7" borderId="8" xfId="0" applyFont="1" applyFill="1" applyBorder="1" applyAlignment="1" applyProtection="1">
      <alignment horizontal="left" vertical="center"/>
      <protection locked="0"/>
    </xf>
    <xf numFmtId="0" fontId="273" fillId="7" borderId="23" xfId="0" applyFont="1" applyFill="1" applyBorder="1" applyAlignment="1" applyProtection="1">
      <alignment vertical="center"/>
      <protection locked="0"/>
    </xf>
    <xf numFmtId="0" fontId="271" fillId="7" borderId="3" xfId="0" applyNumberFormat="1" applyFont="1" applyFill="1" applyBorder="1" applyAlignment="1" applyProtection="1">
      <alignment horizontal="left" vertical="center"/>
      <protection locked="0"/>
    </xf>
    <xf numFmtId="0" fontId="272" fillId="7" borderId="4" xfId="0" applyFont="1" applyFill="1" applyBorder="1" applyProtection="1">
      <protection locked="0"/>
    </xf>
    <xf numFmtId="0" fontId="272" fillId="7" borderId="3" xfId="0" applyFont="1" applyFill="1" applyBorder="1" applyProtection="1">
      <protection locked="0"/>
    </xf>
    <xf numFmtId="0" fontId="271" fillId="7" borderId="3" xfId="0" applyFont="1" applyFill="1" applyBorder="1" applyProtection="1">
      <protection locked="0"/>
    </xf>
    <xf numFmtId="0" fontId="271" fillId="7" borderId="5" xfId="0" applyNumberFormat="1" applyFont="1" applyFill="1" applyBorder="1" applyAlignment="1" applyProtection="1">
      <alignment horizontal="left" vertical="center"/>
      <protection locked="0"/>
    </xf>
    <xf numFmtId="0" fontId="272" fillId="7" borderId="13" xfId="0" applyFont="1" applyFill="1" applyBorder="1" applyProtection="1">
      <protection locked="0"/>
    </xf>
    <xf numFmtId="0" fontId="272" fillId="7" borderId="5" xfId="0" applyFont="1" applyFill="1" applyBorder="1" applyProtection="1">
      <protection locked="0"/>
    </xf>
    <xf numFmtId="0" fontId="271" fillId="7" borderId="5" xfId="0" applyFont="1" applyFill="1" applyBorder="1" applyProtection="1">
      <protection locked="0"/>
    </xf>
    <xf numFmtId="0" fontId="271" fillId="7" borderId="8" xfId="0" applyNumberFormat="1" applyFont="1" applyFill="1" applyBorder="1" applyAlignment="1" applyProtection="1">
      <alignment horizontal="left" vertical="center"/>
      <protection locked="0"/>
    </xf>
    <xf numFmtId="0" fontId="272" fillId="7" borderId="23" xfId="0" applyFont="1" applyFill="1" applyBorder="1" applyProtection="1">
      <protection locked="0"/>
    </xf>
    <xf numFmtId="0" fontId="272" fillId="7" borderId="8" xfId="0" applyFont="1" applyFill="1" applyBorder="1" applyProtection="1">
      <protection locked="0"/>
    </xf>
    <xf numFmtId="0" fontId="271" fillId="7" borderId="8" xfId="0" applyFont="1" applyFill="1" applyBorder="1" applyProtection="1">
      <protection locked="0"/>
    </xf>
    <xf numFmtId="0" fontId="271" fillId="7" borderId="4" xfId="0" applyFont="1" applyFill="1" applyBorder="1" applyAlignment="1" applyProtection="1">
      <alignment horizontal="right" vertical="center"/>
      <protection locked="0"/>
    </xf>
    <xf numFmtId="0" fontId="272" fillId="7" borderId="13" xfId="0" applyFont="1" applyFill="1" applyBorder="1" applyAlignment="1" applyProtection="1">
      <alignment vertical="center"/>
      <protection locked="0"/>
    </xf>
    <xf numFmtId="0" fontId="272" fillId="7" borderId="5" xfId="0" applyFont="1" applyFill="1" applyBorder="1" applyAlignment="1" applyProtection="1">
      <alignment vertical="center"/>
      <protection locked="0"/>
    </xf>
    <xf numFmtId="0" fontId="271" fillId="7" borderId="5" xfId="0" applyFont="1" applyFill="1" applyBorder="1" applyAlignment="1" applyProtection="1">
      <alignment vertical="center"/>
      <protection locked="0"/>
    </xf>
    <xf numFmtId="0" fontId="271" fillId="7" borderId="13" xfId="0" applyFont="1" applyFill="1" applyBorder="1" applyAlignment="1" applyProtection="1">
      <alignment horizontal="right" vertical="center"/>
      <protection locked="0"/>
    </xf>
    <xf numFmtId="0" fontId="271" fillId="7" borderId="13" xfId="0" applyFont="1" applyFill="1" applyBorder="1" applyAlignment="1" applyProtection="1">
      <alignment vertical="center"/>
      <protection locked="0"/>
    </xf>
    <xf numFmtId="0" fontId="272" fillId="7" borderId="23" xfId="0" applyFont="1" applyFill="1" applyBorder="1" applyAlignment="1" applyProtection="1">
      <alignment vertical="center"/>
      <protection locked="0"/>
    </xf>
    <xf numFmtId="0" fontId="272" fillId="7" borderId="8" xfId="0" applyFont="1" applyFill="1" applyBorder="1" applyAlignment="1" applyProtection="1">
      <alignment vertical="center"/>
      <protection locked="0"/>
    </xf>
    <xf numFmtId="0" fontId="271" fillId="7" borderId="8" xfId="0" applyFont="1" applyFill="1" applyBorder="1" applyAlignment="1" applyProtection="1">
      <alignment vertical="center"/>
      <protection locked="0"/>
    </xf>
    <xf numFmtId="0" fontId="271" fillId="7" borderId="23" xfId="0" applyFont="1" applyFill="1" applyBorder="1" applyAlignment="1" applyProtection="1">
      <alignment vertical="center"/>
      <protection locked="0"/>
    </xf>
    <xf numFmtId="0" fontId="274" fillId="7" borderId="4" xfId="0" applyFont="1" applyFill="1" applyBorder="1" applyAlignment="1" applyProtection="1">
      <alignment vertical="center"/>
      <protection locked="0"/>
    </xf>
    <xf numFmtId="0" fontId="274" fillId="7" borderId="13" xfId="0" applyFont="1" applyFill="1" applyBorder="1" applyAlignment="1" applyProtection="1">
      <alignment vertical="center"/>
      <protection locked="0"/>
    </xf>
    <xf numFmtId="0" fontId="272" fillId="7" borderId="23" xfId="0" applyFont="1" applyFill="1" applyBorder="1" applyAlignment="1" applyProtection="1">
      <alignment horizontal="left" vertical="center"/>
      <protection locked="0"/>
    </xf>
    <xf numFmtId="0" fontId="272" fillId="7" borderId="8" xfId="0" applyFont="1" applyFill="1" applyBorder="1" applyAlignment="1" applyProtection="1">
      <alignment horizontal="left" vertical="center"/>
      <protection locked="0"/>
    </xf>
    <xf numFmtId="0" fontId="274" fillId="7" borderId="23" xfId="0" applyFont="1" applyFill="1" applyBorder="1" applyAlignment="1" applyProtection="1">
      <alignment vertical="center"/>
      <protection locked="0"/>
    </xf>
    <xf numFmtId="0" fontId="98" fillId="0" borderId="0" xfId="0" applyFont="1" applyFill="1" applyAlignment="1" applyProtection="1">
      <alignment horizontal="left" vertical="center" wrapText="1"/>
    </xf>
    <xf numFmtId="0" fontId="138" fillId="0" borderId="0" xfId="0" applyFont="1" applyFill="1" applyAlignment="1" applyProtection="1">
      <alignment horizontal="right"/>
    </xf>
    <xf numFmtId="49" fontId="99" fillId="9" borderId="22"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xf>
    <xf numFmtId="170" fontId="12" fillId="7" borderId="0" xfId="0" applyNumberFormat="1" applyFont="1" applyFill="1" applyBorder="1" applyAlignment="1" applyProtection="1">
      <alignment horizontal="center"/>
      <protection locked="0"/>
    </xf>
    <xf numFmtId="170" fontId="12" fillId="7" borderId="23" xfId="0" applyNumberFormat="1" applyFont="1" applyFill="1" applyBorder="1" applyAlignment="1" applyProtection="1">
      <alignment horizontal="center"/>
      <protection locked="0"/>
    </xf>
    <xf numFmtId="0" fontId="90" fillId="0" borderId="114" xfId="0" applyFont="1" applyFill="1" applyBorder="1" applyAlignment="1" applyProtection="1">
      <alignment vertical="center" wrapText="1"/>
    </xf>
    <xf numFmtId="0" fontId="2" fillId="0" borderId="43" xfId="0" applyFont="1" applyFill="1" applyBorder="1" applyAlignment="1" applyProtection="1">
      <alignment horizontal="left" vertical="center"/>
    </xf>
    <xf numFmtId="0" fontId="78" fillId="7" borderId="18" xfId="0" applyFont="1" applyFill="1" applyBorder="1" applyAlignment="1" applyProtection="1">
      <alignment horizontal="left" vertical="center"/>
      <protection locked="0"/>
    </xf>
    <xf numFmtId="0" fontId="2" fillId="4" borderId="173" xfId="0" applyFont="1" applyFill="1" applyBorder="1" applyAlignment="1" applyProtection="1">
      <alignment horizontal="center" vertical="center"/>
    </xf>
    <xf numFmtId="0" fontId="2" fillId="4" borderId="102" xfId="0" applyFont="1" applyFill="1" applyBorder="1" applyAlignment="1" applyProtection="1">
      <alignment vertical="center" wrapText="1"/>
    </xf>
    <xf numFmtId="0" fontId="2" fillId="4" borderId="172" xfId="0" applyFont="1" applyFill="1" applyBorder="1" applyAlignment="1" applyProtection="1">
      <alignment vertical="center" wrapText="1"/>
    </xf>
    <xf numFmtId="0" fontId="0" fillId="4" borderId="108" xfId="0" applyFill="1" applyBorder="1" applyAlignment="1" applyProtection="1">
      <alignment vertical="center"/>
    </xf>
    <xf numFmtId="0" fontId="9" fillId="4" borderId="171" xfId="0" applyFont="1" applyFill="1" applyBorder="1" applyAlignment="1" applyProtection="1">
      <alignment horizontal="center" wrapText="1"/>
    </xf>
    <xf numFmtId="0" fontId="9" fillId="4" borderId="102" xfId="0" applyFont="1" applyFill="1" applyBorder="1" applyAlignment="1" applyProtection="1">
      <alignment horizontal="center" wrapText="1"/>
    </xf>
    <xf numFmtId="0" fontId="9" fillId="4" borderId="174" xfId="0" applyFont="1" applyFill="1" applyBorder="1" applyAlignment="1" applyProtection="1">
      <alignment horizontal="center" wrapText="1"/>
    </xf>
    <xf numFmtId="0" fontId="9" fillId="4" borderId="176" xfId="0" applyFont="1" applyFill="1" applyBorder="1" applyAlignment="1" applyProtection="1">
      <alignment horizontal="center" wrapText="1"/>
    </xf>
    <xf numFmtId="0" fontId="9" fillId="4" borderId="177" xfId="0" applyFont="1" applyFill="1" applyBorder="1" applyAlignment="1" applyProtection="1">
      <alignment horizontal="center" wrapText="1"/>
    </xf>
    <xf numFmtId="0" fontId="16" fillId="18" borderId="28" xfId="0" applyFont="1" applyFill="1" applyBorder="1" applyAlignment="1" applyProtection="1">
      <alignment horizontal="left" vertical="center"/>
    </xf>
    <xf numFmtId="0" fontId="32" fillId="18" borderId="51" xfId="0" applyFont="1" applyFill="1" applyBorder="1" applyAlignment="1" applyProtection="1">
      <alignment vertical="center"/>
    </xf>
    <xf numFmtId="0" fontId="155" fillId="0" borderId="0" xfId="0" applyFont="1" applyFill="1" applyBorder="1" applyAlignment="1" applyProtection="1">
      <alignment horizontal="left" vertical="center"/>
    </xf>
    <xf numFmtId="0" fontId="298" fillId="0" borderId="0" xfId="0" applyFont="1" applyBorder="1" applyAlignment="1" applyProtection="1">
      <alignment horizontal="left" vertical="center"/>
    </xf>
    <xf numFmtId="0" fontId="287" fillId="7" borderId="181" xfId="0" applyFont="1" applyFill="1" applyBorder="1" applyAlignment="1" applyProtection="1">
      <alignment horizontal="center" vertical="center"/>
      <protection hidden="1"/>
    </xf>
    <xf numFmtId="0" fontId="287" fillId="7" borderId="182" xfId="0" applyFont="1" applyFill="1" applyBorder="1" applyAlignment="1" applyProtection="1">
      <alignment horizontal="center" vertical="center"/>
      <protection hidden="1"/>
    </xf>
    <xf numFmtId="0" fontId="287" fillId="7" borderId="183" xfId="0" applyFont="1" applyFill="1" applyBorder="1" applyAlignment="1" applyProtection="1">
      <alignment horizontal="center" vertical="center"/>
      <protection hidden="1"/>
    </xf>
    <xf numFmtId="0" fontId="3" fillId="0" borderId="182" xfId="0" applyFont="1" applyBorder="1" applyAlignment="1" applyProtection="1">
      <alignment horizontal="center" vertical="center" textRotation="90"/>
      <protection hidden="1"/>
    </xf>
    <xf numFmtId="0" fontId="3" fillId="0" borderId="183" xfId="0" applyFont="1" applyBorder="1" applyAlignment="1" applyProtection="1">
      <alignment horizontal="center" vertical="center" textRotation="90" wrapText="1"/>
      <protection hidden="1"/>
    </xf>
    <xf numFmtId="0" fontId="0" fillId="0" borderId="181" xfId="0" applyBorder="1" applyAlignment="1" applyProtection="1">
      <alignment vertical="center"/>
    </xf>
    <xf numFmtId="0" fontId="22" fillId="0" borderId="184" xfId="0" applyFont="1" applyFill="1" applyBorder="1" applyAlignment="1" applyProtection="1">
      <alignment vertical="center" wrapText="1"/>
    </xf>
    <xf numFmtId="0" fontId="2" fillId="4" borderId="185" xfId="0" applyFont="1" applyFill="1" applyBorder="1" applyAlignment="1" applyProtection="1">
      <alignment horizontal="center" vertical="center"/>
    </xf>
    <xf numFmtId="0" fontId="9" fillId="0" borderId="121" xfId="0" applyFont="1" applyBorder="1" applyAlignment="1" applyProtection="1">
      <alignment horizontal="center" vertical="center" wrapText="1"/>
    </xf>
    <xf numFmtId="0" fontId="6" fillId="7" borderId="121" xfId="0" applyNumberFormat="1" applyFont="1" applyFill="1" applyBorder="1" applyAlignment="1" applyProtection="1">
      <alignment horizontal="center" vertical="center"/>
      <protection locked="0"/>
    </xf>
    <xf numFmtId="0" fontId="6" fillId="7" borderId="186" xfId="0" applyNumberFormat="1" applyFont="1" applyFill="1" applyBorder="1" applyAlignment="1" applyProtection="1">
      <alignment horizontal="center" vertical="center"/>
      <protection locked="0"/>
    </xf>
    <xf numFmtId="0" fontId="6" fillId="7" borderId="187" xfId="0" applyNumberFormat="1" applyFont="1" applyFill="1" applyBorder="1" applyAlignment="1" applyProtection="1">
      <alignment horizontal="center" vertical="center"/>
      <protection locked="0"/>
    </xf>
    <xf numFmtId="0" fontId="0" fillId="0" borderId="13" xfId="0" applyBorder="1" applyAlignment="1" applyProtection="1">
      <alignment vertical="center"/>
    </xf>
    <xf numFmtId="0" fontId="9" fillId="0" borderId="89" xfId="0" applyFont="1" applyBorder="1" applyAlignment="1" applyProtection="1">
      <alignment horizontal="center" vertical="center" wrapText="1"/>
    </xf>
    <xf numFmtId="0" fontId="196" fillId="26" borderId="182" xfId="0" applyFont="1" applyFill="1" applyBorder="1" applyAlignment="1" applyProtection="1">
      <alignment horizontal="center" vertical="center"/>
    </xf>
    <xf numFmtId="0" fontId="137" fillId="0" borderId="64" xfId="0" applyFont="1" applyBorder="1" applyAlignment="1" applyProtection="1">
      <alignment horizontal="center" vertical="center"/>
    </xf>
    <xf numFmtId="0" fontId="14" fillId="0" borderId="0" xfId="0" applyFont="1" applyFill="1" applyBorder="1" applyAlignment="1" applyProtection="1">
      <alignment horizontal="center" vertical="center" textRotation="90"/>
    </xf>
    <xf numFmtId="49" fontId="166" fillId="9" borderId="73" xfId="0" applyNumberFormat="1" applyFont="1" applyFill="1" applyBorder="1" applyAlignment="1" applyProtection="1">
      <alignment horizontal="center" vertical="center"/>
      <protection locked="0"/>
    </xf>
    <xf numFmtId="49" fontId="166" fillId="9" borderId="73" xfId="0" applyNumberFormat="1" applyFont="1" applyFill="1" applyBorder="1" applyAlignment="1" applyProtection="1">
      <alignment horizontal="left" vertical="center"/>
      <protection locked="0"/>
    </xf>
    <xf numFmtId="0" fontId="69" fillId="0" borderId="0" xfId="0" applyFont="1" applyAlignment="1" applyProtection="1">
      <alignment horizontal="left" vertical="top"/>
    </xf>
    <xf numFmtId="0" fontId="301" fillId="0" borderId="40" xfId="0" applyFont="1" applyBorder="1" applyAlignment="1" applyProtection="1">
      <alignment horizontal="left" vertical="center"/>
    </xf>
    <xf numFmtId="0" fontId="67" fillId="0" borderId="16" xfId="0" applyFont="1" applyFill="1" applyBorder="1" applyAlignment="1" applyProtection="1"/>
    <xf numFmtId="0" fontId="67" fillId="0" borderId="114" xfId="0" applyFont="1" applyFill="1" applyBorder="1" applyAlignment="1" applyProtection="1">
      <alignment vertical="center"/>
    </xf>
    <xf numFmtId="0" fontId="90" fillId="0" borderId="141" xfId="0" applyFont="1" applyFill="1" applyBorder="1" applyAlignment="1" applyProtection="1">
      <alignment horizontal="left" vertical="center"/>
    </xf>
    <xf numFmtId="0" fontId="16" fillId="0" borderId="16" xfId="0" applyFont="1" applyFill="1" applyBorder="1" applyAlignment="1" applyProtection="1">
      <alignment horizontal="right" vertical="center"/>
    </xf>
    <xf numFmtId="0" fontId="90" fillId="0" borderId="18" xfId="0" applyFont="1" applyFill="1" applyBorder="1" applyAlignment="1" applyProtection="1">
      <alignment horizontal="left" vertical="center"/>
    </xf>
    <xf numFmtId="0" fontId="92" fillId="0" borderId="16" xfId="0" applyFont="1" applyFill="1" applyBorder="1" applyAlignment="1" applyProtection="1">
      <alignment horizontal="left" vertical="top"/>
    </xf>
    <xf numFmtId="0" fontId="92" fillId="0" borderId="18" xfId="0" applyFont="1" applyFill="1" applyBorder="1" applyAlignment="1" applyProtection="1">
      <alignment horizontal="left" vertical="top"/>
    </xf>
    <xf numFmtId="0" fontId="92" fillId="0" borderId="43" xfId="0" applyFont="1" applyFill="1" applyBorder="1" applyAlignment="1" applyProtection="1"/>
    <xf numFmtId="0" fontId="16" fillId="0" borderId="14" xfId="0" applyFont="1" applyFill="1" applyBorder="1" applyAlignment="1" applyProtection="1">
      <alignment horizontal="right" vertical="center"/>
    </xf>
    <xf numFmtId="0" fontId="16" fillId="0" borderId="0" xfId="0" applyFont="1" applyFill="1" applyAlignment="1" applyProtection="1">
      <alignment horizontal="right" vertical="center"/>
    </xf>
    <xf numFmtId="0" fontId="67" fillId="0" borderId="13" xfId="0" applyFont="1" applyFill="1" applyBorder="1" applyAlignment="1" applyProtection="1">
      <alignment vertical="center"/>
    </xf>
    <xf numFmtId="0" fontId="179" fillId="0" borderId="3" xfId="0" applyFont="1" applyBorder="1" applyAlignment="1" applyProtection="1"/>
    <xf numFmtId="0" fontId="179" fillId="0" borderId="4" xfId="0" applyFont="1" applyBorder="1" applyAlignment="1" applyProtection="1"/>
    <xf numFmtId="0" fontId="150" fillId="0" borderId="24" xfId="0" applyFont="1" applyFill="1" applyBorder="1" applyAlignment="1" applyProtection="1">
      <alignment horizontal="center" vertical="center"/>
      <protection locked="0"/>
    </xf>
    <xf numFmtId="0" fontId="67" fillId="0" borderId="54" xfId="0" applyFont="1" applyFill="1" applyBorder="1" applyAlignment="1" applyProtection="1">
      <alignment vertical="center"/>
    </xf>
    <xf numFmtId="0" fontId="92" fillId="0" borderId="54" xfId="0" applyFont="1" applyFill="1" applyBorder="1" applyAlignment="1" applyProtection="1">
      <alignment horizontal="left" vertical="top"/>
    </xf>
    <xf numFmtId="0" fontId="15" fillId="0" borderId="16" xfId="0" applyFont="1" applyFill="1" applyBorder="1" applyAlignment="1" applyProtection="1"/>
    <xf numFmtId="0" fontId="304" fillId="0" borderId="43" xfId="0" applyFont="1" applyFill="1" applyBorder="1" applyAlignment="1" applyProtection="1">
      <alignment horizontal="right"/>
    </xf>
    <xf numFmtId="0" fontId="88" fillId="0" borderId="16" xfId="0" applyFont="1" applyFill="1" applyBorder="1" applyAlignment="1" applyProtection="1">
      <alignment horizontal="left" vertical="center"/>
    </xf>
    <xf numFmtId="0" fontId="305" fillId="0" borderId="16" xfId="1" quotePrefix="1" applyFont="1" applyFill="1" applyBorder="1" applyAlignment="1" applyProtection="1">
      <alignment wrapText="1"/>
    </xf>
    <xf numFmtId="0" fontId="67" fillId="0" borderId="0" xfId="0" applyFont="1" applyFill="1" applyAlignment="1" applyProtection="1">
      <alignment vertical="top"/>
    </xf>
    <xf numFmtId="0" fontId="90" fillId="0" borderId="16" xfId="0" applyFont="1" applyFill="1" applyBorder="1" applyAlignment="1" applyProtection="1">
      <alignment horizontal="right" vertical="top"/>
    </xf>
    <xf numFmtId="0" fontId="90" fillId="0" borderId="0" xfId="0" applyNumberFormat="1" applyFont="1" applyFill="1" applyBorder="1" applyAlignment="1" applyProtection="1">
      <alignment horizontal="left" vertical="top"/>
    </xf>
    <xf numFmtId="0" fontId="16" fillId="0" borderId="114" xfId="0" applyFont="1" applyFill="1" applyBorder="1" applyAlignment="1" applyProtection="1">
      <alignment horizontal="right"/>
    </xf>
    <xf numFmtId="1" fontId="78" fillId="0" borderId="114" xfId="0" applyNumberFormat="1" applyFont="1" applyFill="1" applyBorder="1" applyAlignment="1" applyProtection="1">
      <alignment horizontal="left"/>
    </xf>
    <xf numFmtId="0" fontId="54" fillId="0" borderId="44" xfId="0" applyFont="1" applyFill="1" applyBorder="1" applyAlignment="1" applyProtection="1">
      <alignment vertical="center"/>
    </xf>
    <xf numFmtId="0" fontId="16" fillId="0" borderId="114" xfId="0" applyFont="1" applyFill="1" applyBorder="1" applyAlignment="1" applyProtection="1"/>
    <xf numFmtId="0" fontId="16" fillId="0" borderId="16" xfId="0" applyFont="1" applyFill="1" applyBorder="1" applyAlignment="1" applyProtection="1">
      <alignment vertical="center"/>
    </xf>
    <xf numFmtId="0" fontId="2" fillId="4" borderId="106" xfId="0" applyFont="1" applyFill="1" applyBorder="1" applyAlignment="1" applyProtection="1">
      <alignment vertical="center" wrapText="1"/>
    </xf>
    <xf numFmtId="0" fontId="94" fillId="0" borderId="16" xfId="0" applyFont="1" applyBorder="1" applyAlignment="1" applyProtection="1">
      <alignment horizontal="right" vertical="center"/>
    </xf>
    <xf numFmtId="0" fontId="12" fillId="0" borderId="16" xfId="0" applyFont="1" applyBorder="1" applyProtection="1"/>
    <xf numFmtId="0" fontId="9" fillId="0" borderId="3" xfId="0" applyFont="1" applyFill="1" applyBorder="1" applyAlignment="1" applyProtection="1">
      <alignment horizontal="center" vertical="center"/>
    </xf>
    <xf numFmtId="0" fontId="9" fillId="0" borderId="3" xfId="0" applyFont="1" applyFill="1" applyBorder="1" applyAlignment="1" applyProtection="1">
      <alignment horizontal="right" vertical="center"/>
    </xf>
    <xf numFmtId="0" fontId="72" fillId="0" borderId="21" xfId="0" applyFont="1" applyFill="1" applyBorder="1" applyAlignment="1" applyProtection="1">
      <alignment horizontal="center" vertical="center"/>
    </xf>
    <xf numFmtId="0" fontId="72" fillId="0" borderId="3" xfId="0" applyFont="1" applyFill="1" applyBorder="1" applyAlignment="1" applyProtection="1">
      <alignment horizontal="right" vertical="center"/>
    </xf>
    <xf numFmtId="0" fontId="47" fillId="0" borderId="111" xfId="0" applyFont="1" applyFill="1" applyBorder="1" applyAlignment="1" applyProtection="1">
      <alignment horizontal="center" vertical="center" wrapText="1"/>
    </xf>
    <xf numFmtId="0" fontId="0" fillId="0" borderId="72" xfId="0" applyBorder="1" applyAlignment="1" applyProtection="1">
      <alignment vertical="center"/>
    </xf>
    <xf numFmtId="0" fontId="0" fillId="0" borderId="162" xfId="0" applyBorder="1" applyAlignment="1" applyProtection="1">
      <alignment vertical="center"/>
    </xf>
    <xf numFmtId="0" fontId="0" fillId="0" borderId="133" xfId="0" applyBorder="1" applyAlignment="1" applyProtection="1">
      <alignment vertical="center"/>
    </xf>
    <xf numFmtId="0" fontId="2" fillId="0" borderId="189" xfId="0" applyFont="1" applyFill="1" applyBorder="1" applyAlignment="1" applyProtection="1">
      <alignment vertical="center" wrapText="1"/>
    </xf>
    <xf numFmtId="0" fontId="78" fillId="26" borderId="4" xfId="0" applyFont="1" applyFill="1" applyBorder="1" applyAlignment="1" applyProtection="1">
      <alignment horizontal="left" vertical="center"/>
    </xf>
    <xf numFmtId="0" fontId="72" fillId="0" borderId="16" xfId="0" applyFont="1" applyBorder="1" applyAlignment="1" applyProtection="1">
      <alignment vertical="center"/>
    </xf>
    <xf numFmtId="0" fontId="72" fillId="0" borderId="16" xfId="0" applyFont="1" applyBorder="1" applyAlignment="1" applyProtection="1">
      <alignment horizontal="right" vertical="center"/>
    </xf>
    <xf numFmtId="0" fontId="9" fillId="0" borderId="21" xfId="0" applyFont="1" applyFill="1" applyBorder="1" applyAlignment="1" applyProtection="1">
      <alignment horizontal="center" vertical="center"/>
    </xf>
    <xf numFmtId="0" fontId="306" fillId="7" borderId="98" xfId="0" applyFont="1" applyFill="1" applyBorder="1" applyAlignment="1" applyProtection="1">
      <alignment horizontal="center" vertical="center"/>
      <protection locked="0"/>
    </xf>
    <xf numFmtId="0" fontId="283" fillId="0" borderId="77" xfId="0" applyFont="1" applyBorder="1" applyAlignment="1" applyProtection="1">
      <alignment horizontal="center" vertical="center" wrapText="1"/>
    </xf>
    <xf numFmtId="0" fontId="283" fillId="0" borderId="12" xfId="0" applyFont="1" applyFill="1" applyBorder="1" applyAlignment="1" applyProtection="1">
      <alignment horizontal="center" vertical="center" wrapText="1"/>
    </xf>
    <xf numFmtId="0" fontId="307" fillId="0" borderId="12" xfId="0" applyFont="1" applyFill="1" applyBorder="1" applyAlignment="1" applyProtection="1">
      <alignment horizontal="center" vertical="center" wrapText="1"/>
    </xf>
    <xf numFmtId="0" fontId="307" fillId="0" borderId="77" xfId="0" applyFont="1" applyFill="1" applyBorder="1" applyAlignment="1" applyProtection="1">
      <alignment horizontal="center" vertical="center" wrapText="1"/>
    </xf>
    <xf numFmtId="0" fontId="189" fillId="0" borderId="0" xfId="0" applyFont="1" applyFill="1" applyAlignment="1" applyProtection="1">
      <alignment vertical="top"/>
    </xf>
    <xf numFmtId="0" fontId="72" fillId="0" borderId="16" xfId="0" applyFont="1" applyBorder="1" applyAlignment="1" applyProtection="1">
      <alignment horizontal="center" vertical="center"/>
    </xf>
    <xf numFmtId="0" fontId="72" fillId="0" borderId="10" xfId="0" applyFont="1" applyBorder="1" applyAlignment="1" applyProtection="1">
      <alignment horizontal="center" vertical="center"/>
    </xf>
    <xf numFmtId="0" fontId="72" fillId="0" borderId="5" xfId="0"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51" xfId="0" applyNumberFormat="1" applyFont="1" applyBorder="1" applyAlignment="1" applyProtection="1">
      <alignment horizontal="center" vertical="center" wrapText="1"/>
    </xf>
    <xf numFmtId="0" fontId="9" fillId="0" borderId="46" xfId="0" applyNumberFormat="1" applyFont="1" applyBorder="1" applyAlignment="1" applyProtection="1">
      <alignment horizontal="center" vertical="center" wrapText="1"/>
    </xf>
    <xf numFmtId="0" fontId="78" fillId="7" borderId="18" xfId="0" applyFont="1" applyFill="1" applyBorder="1" applyAlignment="1" applyProtection="1">
      <alignment horizontal="left" vertical="center"/>
      <protection locked="0"/>
    </xf>
    <xf numFmtId="0" fontId="9" fillId="0" borderId="3" xfId="0" applyFont="1" applyFill="1" applyBorder="1" applyAlignment="1" applyProtection="1">
      <alignment horizontal="center" vertical="center"/>
    </xf>
    <xf numFmtId="0" fontId="6" fillId="7" borderId="48" xfId="0" applyNumberFormat="1" applyFont="1" applyFill="1" applyBorder="1" applyAlignment="1" applyProtection="1">
      <alignment horizontal="center" vertical="center" wrapText="1"/>
      <protection locked="0"/>
    </xf>
    <xf numFmtId="0" fontId="6" fillId="7" borderId="46" xfId="0" applyNumberFormat="1" applyFont="1" applyFill="1" applyBorder="1" applyAlignment="1" applyProtection="1">
      <alignment horizontal="center" vertical="center" wrapText="1"/>
      <protection locked="0"/>
    </xf>
    <xf numFmtId="0" fontId="61" fillId="7" borderId="0" xfId="0" applyNumberFormat="1" applyFont="1" applyFill="1" applyBorder="1" applyAlignment="1" applyProtection="1">
      <alignment horizontal="center" vertical="center" wrapText="1"/>
      <protection locked="0"/>
    </xf>
    <xf numFmtId="0" fontId="61" fillId="7" borderId="49" xfId="0" applyNumberFormat="1" applyFont="1" applyFill="1" applyBorder="1" applyAlignment="1" applyProtection="1">
      <alignment horizontal="center" vertical="center" wrapText="1"/>
      <protection locked="0"/>
    </xf>
    <xf numFmtId="0" fontId="308" fillId="0" borderId="0" xfId="0" applyFont="1" applyBorder="1" applyProtection="1"/>
    <xf numFmtId="0" fontId="142" fillId="11" borderId="41" xfId="0" applyFont="1" applyFill="1" applyBorder="1" applyAlignment="1" applyProtection="1">
      <alignment horizontal="center" vertical="center" wrapText="1"/>
    </xf>
    <xf numFmtId="0" fontId="1" fillId="0" borderId="0" xfId="0" applyFont="1" applyBorder="1"/>
    <xf numFmtId="0" fontId="36" fillId="0" borderId="0" xfId="0" applyFont="1"/>
    <xf numFmtId="0" fontId="102" fillId="22" borderId="85" xfId="0" applyFont="1" applyFill="1" applyBorder="1" applyAlignment="1" applyProtection="1">
      <alignment horizontal="center" vertical="center" wrapText="1"/>
    </xf>
    <xf numFmtId="0" fontId="270" fillId="18" borderId="51" xfId="0" applyFont="1" applyFill="1" applyBorder="1" applyAlignment="1" applyProtection="1">
      <alignment horizontal="left" vertical="center"/>
    </xf>
    <xf numFmtId="0" fontId="222" fillId="0" borderId="29" xfId="0" applyFont="1" applyFill="1" applyBorder="1" applyAlignment="1" applyProtection="1">
      <alignment horizontal="center" vertical="center"/>
    </xf>
    <xf numFmtId="0" fontId="311" fillId="0" borderId="114" xfId="0" applyFont="1" applyFill="1" applyBorder="1" applyAlignment="1" applyProtection="1">
      <alignment horizontal="right"/>
    </xf>
    <xf numFmtId="0" fontId="70" fillId="7" borderId="10" xfId="0" applyFont="1" applyFill="1" applyBorder="1" applyAlignment="1" applyProtection="1">
      <alignment horizontal="center" vertical="center" wrapText="1"/>
    </xf>
    <xf numFmtId="190" fontId="194" fillId="0" borderId="95" xfId="0" applyNumberFormat="1" applyFont="1" applyBorder="1" applyAlignment="1" applyProtection="1">
      <alignment horizontal="center" vertical="center"/>
    </xf>
    <xf numFmtId="0" fontId="205" fillId="13" borderId="0" xfId="0" applyFont="1" applyFill="1" applyBorder="1" applyAlignment="1" applyProtection="1">
      <alignment vertical="center"/>
    </xf>
    <xf numFmtId="0" fontId="155" fillId="0" borderId="114" xfId="0" applyFont="1" applyFill="1" applyBorder="1" applyAlignment="1" applyProtection="1">
      <alignment horizontal="right" vertical="center" indent="1"/>
    </xf>
    <xf numFmtId="0" fontId="105" fillId="13" borderId="55" xfId="0" applyFont="1" applyFill="1" applyBorder="1" applyAlignment="1" applyProtection="1">
      <alignment horizontal="right" vertical="center"/>
    </xf>
    <xf numFmtId="0" fontId="30" fillId="0" borderId="0" xfId="0" applyFont="1" applyBorder="1" applyAlignment="1" applyProtection="1">
      <alignment horizontal="center" vertical="top" wrapText="1"/>
    </xf>
    <xf numFmtId="0" fontId="92" fillId="0" borderId="0" xfId="0" applyFont="1" applyFill="1" applyBorder="1" applyAlignment="1" applyProtection="1">
      <alignment horizontal="left"/>
    </xf>
    <xf numFmtId="0" fontId="92" fillId="0" borderId="0" xfId="0" applyFont="1" applyBorder="1" applyAlignment="1" applyProtection="1">
      <alignment vertical="center" wrapText="1"/>
    </xf>
    <xf numFmtId="0" fontId="92" fillId="0" borderId="0" xfId="0" applyFont="1" applyFill="1" applyBorder="1" applyAlignment="1" applyProtection="1">
      <alignment horizontal="right" vertical="center"/>
    </xf>
    <xf numFmtId="0" fontId="92" fillId="0" borderId="0" xfId="0" applyFont="1" applyBorder="1" applyAlignment="1" applyProtection="1">
      <alignment vertical="center"/>
    </xf>
    <xf numFmtId="0" fontId="97" fillId="0" borderId="0" xfId="0" applyFont="1" applyBorder="1" applyAlignment="1" applyProtection="1">
      <alignment horizontal="left" vertical="center"/>
    </xf>
    <xf numFmtId="0" fontId="164" fillId="0" borderId="0" xfId="0" applyFont="1" applyFill="1" applyBorder="1" applyAlignment="1" applyProtection="1">
      <alignment horizontal="center" vertical="center"/>
      <protection locked="0"/>
    </xf>
    <xf numFmtId="0" fontId="70" fillId="0" borderId="24" xfId="0" applyFont="1" applyFill="1" applyBorder="1" applyAlignment="1" applyProtection="1">
      <alignment horizontal="center" vertical="center"/>
    </xf>
    <xf numFmtId="0" fontId="2" fillId="0" borderId="24" xfId="0" applyFont="1" applyFill="1" applyBorder="1" applyAlignment="1" applyProtection="1">
      <alignment horizontal="left" vertical="center" indent="1"/>
    </xf>
    <xf numFmtId="0" fontId="138" fillId="0" borderId="24" xfId="0" applyFont="1" applyFill="1" applyBorder="1" applyAlignment="1" applyProtection="1">
      <alignment horizontal="right" vertical="center"/>
    </xf>
    <xf numFmtId="0" fontId="9" fillId="0" borderId="22" xfId="0" applyFont="1" applyFill="1" applyBorder="1" applyAlignment="1" applyProtection="1">
      <alignment horizontal="right" vertical="center"/>
    </xf>
    <xf numFmtId="0" fontId="2" fillId="7" borderId="85" xfId="0" applyFont="1" applyFill="1" applyBorder="1" applyAlignment="1" applyProtection="1">
      <alignment horizontal="center" vertical="center"/>
      <protection locked="0"/>
    </xf>
    <xf numFmtId="165" fontId="322" fillId="16" borderId="16" xfId="0" applyNumberFormat="1" applyFont="1" applyFill="1" applyBorder="1" applyAlignment="1" applyProtection="1">
      <alignment horizontal="center" vertical="center"/>
    </xf>
    <xf numFmtId="165" fontId="211" fillId="16" borderId="5" xfId="0" applyNumberFormat="1" applyFont="1" applyFill="1" applyBorder="1" applyAlignment="1" applyProtection="1">
      <alignment horizontal="center" vertical="center"/>
    </xf>
    <xf numFmtId="165" fontId="211" fillId="16" borderId="16" xfId="0" applyNumberFormat="1" applyFont="1" applyFill="1" applyBorder="1" applyAlignment="1" applyProtection="1">
      <alignment horizontal="center" vertical="center"/>
    </xf>
    <xf numFmtId="0" fontId="202" fillId="16" borderId="16" xfId="0" applyFont="1" applyFill="1" applyBorder="1" applyAlignment="1" applyProtection="1">
      <alignment horizontal="left" vertical="center"/>
    </xf>
    <xf numFmtId="164" fontId="190" fillId="12" borderId="18" xfId="0" applyNumberFormat="1" applyFont="1" applyFill="1" applyBorder="1" applyAlignment="1" applyProtection="1">
      <alignment horizontal="left" vertical="center"/>
    </xf>
    <xf numFmtId="164" fontId="190" fillId="16" borderId="18" xfId="0" applyNumberFormat="1" applyFont="1" applyFill="1" applyBorder="1" applyAlignment="1" applyProtection="1">
      <alignment horizontal="left" vertical="center"/>
    </xf>
    <xf numFmtId="164" fontId="193" fillId="16" borderId="13" xfId="0" applyNumberFormat="1" applyFont="1" applyFill="1" applyBorder="1" applyAlignment="1" applyProtection="1">
      <alignment horizontal="left" vertical="center"/>
    </xf>
    <xf numFmtId="0" fontId="219" fillId="0" borderId="27" xfId="0" applyFont="1" applyFill="1" applyBorder="1" applyAlignment="1" applyProtection="1">
      <alignment horizontal="right" vertical="center"/>
    </xf>
    <xf numFmtId="0" fontId="235" fillId="0" borderId="27" xfId="0" applyFont="1" applyFill="1" applyBorder="1" applyAlignment="1" applyProtection="1">
      <alignment horizontal="center" vertical="center"/>
    </xf>
    <xf numFmtId="0" fontId="225" fillId="0" borderId="0" xfId="0" applyFont="1" applyFill="1" applyBorder="1" applyAlignment="1" applyProtection="1">
      <alignment horizontal="center" vertical="center"/>
    </xf>
    <xf numFmtId="0" fontId="2" fillId="0" borderId="41" xfId="0" applyFont="1" applyFill="1" applyBorder="1" applyAlignment="1" applyProtection="1">
      <alignment vertical="center"/>
    </xf>
    <xf numFmtId="0" fontId="2" fillId="0" borderId="17" xfId="0" applyFont="1" applyFill="1" applyBorder="1" applyAlignment="1" applyProtection="1">
      <alignment vertical="center"/>
    </xf>
    <xf numFmtId="0" fontId="9" fillId="0" borderId="17" xfId="0" applyFont="1" applyFill="1" applyBorder="1" applyAlignment="1" applyProtection="1">
      <alignment horizontal="right" vertical="center" wrapText="1"/>
    </xf>
    <xf numFmtId="0" fontId="96" fillId="0" borderId="17" xfId="0" applyFont="1" applyFill="1" applyBorder="1" applyAlignment="1" applyProtection="1">
      <alignment horizontal="right" vertical="center"/>
    </xf>
    <xf numFmtId="0" fontId="134" fillId="0" borderId="37" xfId="0" applyFont="1" applyFill="1" applyBorder="1" applyAlignment="1" applyProtection="1">
      <alignment horizontal="right" vertical="center" wrapText="1"/>
    </xf>
    <xf numFmtId="0" fontId="200" fillId="22" borderId="111" xfId="0" applyFont="1" applyFill="1" applyBorder="1" applyAlignment="1" applyProtection="1">
      <alignment horizontal="center" vertical="center"/>
    </xf>
    <xf numFmtId="0" fontId="14" fillId="0" borderId="24" xfId="0" applyFont="1" applyFill="1" applyBorder="1" applyAlignment="1" applyProtection="1">
      <alignment horizontal="center" vertical="center" textRotation="90"/>
    </xf>
    <xf numFmtId="0" fontId="2" fillId="0" borderId="24" xfId="0" applyFont="1" applyFill="1" applyBorder="1" applyAlignment="1" applyProtection="1">
      <alignment horizontal="center" vertical="center" textRotation="90" wrapText="1"/>
    </xf>
    <xf numFmtId="0" fontId="2" fillId="0" borderId="24" xfId="0" applyFont="1" applyFill="1" applyBorder="1" applyAlignment="1" applyProtection="1">
      <alignment horizontal="center" vertical="center" wrapText="1"/>
    </xf>
    <xf numFmtId="0" fontId="320" fillId="0" borderId="12" xfId="0" applyFont="1" applyBorder="1" applyAlignment="1">
      <alignment horizontal="right" vertical="center"/>
    </xf>
    <xf numFmtId="2" fontId="28" fillId="0" borderId="11" xfId="0" applyNumberFormat="1" applyFont="1" applyBorder="1" applyAlignment="1">
      <alignment horizontal="right" vertical="center"/>
    </xf>
    <xf numFmtId="0" fontId="67" fillId="25" borderId="8" xfId="0" applyFont="1" applyFill="1" applyBorder="1" applyAlignment="1" applyProtection="1">
      <alignment vertical="center"/>
    </xf>
    <xf numFmtId="0" fontId="67" fillId="25" borderId="23" xfId="0" applyFont="1" applyFill="1" applyBorder="1" applyAlignment="1" applyProtection="1">
      <alignment vertical="center"/>
    </xf>
    <xf numFmtId="0" fontId="71" fillId="0" borderId="0" xfId="0" applyFont="1" applyFill="1" applyBorder="1" applyAlignment="1" applyProtection="1">
      <alignment vertical="center"/>
    </xf>
    <xf numFmtId="0" fontId="71" fillId="0" borderId="28" xfId="0" applyFont="1" applyFill="1" applyBorder="1" applyAlignment="1" applyProtection="1">
      <alignment vertical="center"/>
    </xf>
    <xf numFmtId="0" fontId="90" fillId="0" borderId="0" xfId="0" applyFont="1" applyFill="1" applyBorder="1" applyAlignment="1" applyProtection="1">
      <alignment horizontal="right" vertical="center"/>
    </xf>
    <xf numFmtId="0" fontId="138" fillId="18" borderId="51" xfId="0" applyFont="1" applyFill="1" applyBorder="1" applyAlignment="1" applyProtection="1">
      <alignment horizontal="left" vertical="center"/>
    </xf>
    <xf numFmtId="0" fontId="138" fillId="18" borderId="28" xfId="0" applyFont="1" applyFill="1" applyBorder="1" applyAlignment="1" applyProtection="1">
      <alignment horizontal="left" vertical="center"/>
    </xf>
    <xf numFmtId="0" fontId="236" fillId="0" borderId="0" xfId="0" applyFont="1" applyFill="1" applyAlignment="1" applyProtection="1">
      <alignment horizontal="center" vertical="center"/>
    </xf>
    <xf numFmtId="0" fontId="151" fillId="18" borderId="28" xfId="0" applyFont="1" applyFill="1" applyBorder="1" applyAlignment="1" applyProtection="1">
      <alignment vertical="center"/>
    </xf>
    <xf numFmtId="0" fontId="222" fillId="0" borderId="19" xfId="0" applyFont="1" applyFill="1" applyBorder="1" applyAlignment="1" applyProtection="1">
      <alignment horizontal="center" vertical="center"/>
    </xf>
    <xf numFmtId="164" fontId="234" fillId="21" borderId="9" xfId="0" applyNumberFormat="1" applyFont="1" applyFill="1" applyBorder="1" applyAlignment="1" applyProtection="1">
      <alignment horizontal="center" vertical="center"/>
    </xf>
    <xf numFmtId="164" fontId="234" fillId="21" borderId="11" xfId="0" applyNumberFormat="1" applyFont="1" applyFill="1" applyBorder="1" applyAlignment="1" applyProtection="1">
      <alignment horizontal="center" vertical="center"/>
    </xf>
    <xf numFmtId="0" fontId="222" fillId="0" borderId="131" xfId="0" applyFont="1" applyFill="1" applyBorder="1" applyAlignment="1" applyProtection="1">
      <alignment horizontal="center" vertical="center"/>
    </xf>
    <xf numFmtId="0" fontId="222" fillId="0" borderId="51" xfId="0" applyFont="1" applyFill="1" applyBorder="1" applyAlignment="1" applyProtection="1">
      <alignment horizontal="center" vertical="center"/>
    </xf>
    <xf numFmtId="0" fontId="222" fillId="0" borderId="44" xfId="0" applyFont="1" applyFill="1" applyBorder="1" applyAlignment="1" applyProtection="1">
      <alignment horizontal="center" vertical="center"/>
    </xf>
    <xf numFmtId="0" fontId="229" fillId="0" borderId="9" xfId="0" applyFont="1" applyFill="1" applyBorder="1" applyAlignment="1" applyProtection="1">
      <alignment horizontal="left" vertical="center"/>
    </xf>
    <xf numFmtId="0" fontId="222" fillId="0" borderId="42" xfId="0" applyFont="1" applyFill="1" applyBorder="1" applyAlignment="1" applyProtection="1">
      <alignment vertical="center"/>
    </xf>
    <xf numFmtId="0" fontId="222" fillId="0" borderId="8" xfId="0" applyFont="1" applyFill="1" applyBorder="1" applyAlignment="1" applyProtection="1">
      <alignment vertical="center"/>
    </xf>
    <xf numFmtId="0" fontId="222" fillId="0" borderId="11" xfId="0" applyFont="1" applyFill="1" applyBorder="1" applyAlignment="1" applyProtection="1">
      <alignment vertical="center"/>
    </xf>
    <xf numFmtId="0" fontId="222" fillId="0" borderId="44" xfId="0" applyFont="1" applyFill="1" applyBorder="1" applyAlignment="1" applyProtection="1">
      <alignment horizontal="left" vertical="center"/>
    </xf>
    <xf numFmtId="0" fontId="222" fillId="0" borderId="24" xfId="0" applyFont="1" applyFill="1" applyBorder="1" applyAlignment="1" applyProtection="1">
      <alignment horizontal="left" vertical="center"/>
    </xf>
    <xf numFmtId="0" fontId="222" fillId="0" borderId="25" xfId="0" applyFont="1" applyFill="1" applyBorder="1" applyAlignment="1" applyProtection="1">
      <alignment horizontal="center" vertical="center"/>
    </xf>
    <xf numFmtId="0" fontId="257" fillId="0" borderId="0" xfId="0" applyFont="1" applyFill="1" applyBorder="1" applyAlignment="1" applyProtection="1">
      <alignment vertical="center" wrapText="1"/>
    </xf>
    <xf numFmtId="0" fontId="257" fillId="0" borderId="28" xfId="0" applyFont="1" applyFill="1" applyBorder="1" applyAlignment="1" applyProtection="1">
      <alignment vertical="center" wrapText="1"/>
    </xf>
    <xf numFmtId="0" fontId="219" fillId="0" borderId="11" xfId="0" applyFont="1" applyFill="1" applyBorder="1" applyAlignment="1" applyProtection="1">
      <alignment horizontal="right" vertical="center"/>
    </xf>
    <xf numFmtId="0" fontId="222" fillId="0" borderId="44" xfId="0" applyFont="1" applyFill="1" applyBorder="1" applyAlignment="1" applyProtection="1">
      <alignment vertical="center"/>
    </xf>
    <xf numFmtId="0" fontId="222" fillId="0" borderId="24" xfId="0" applyFont="1" applyFill="1" applyBorder="1" applyAlignment="1" applyProtection="1">
      <alignment vertical="center"/>
    </xf>
    <xf numFmtId="0" fontId="222" fillId="0" borderId="25" xfId="0" applyFont="1" applyFill="1" applyBorder="1" applyAlignment="1" applyProtection="1">
      <alignment vertical="center"/>
    </xf>
    <xf numFmtId="0" fontId="222" fillId="0" borderId="40" xfId="0" applyFont="1" applyFill="1" applyBorder="1" applyAlignment="1" applyProtection="1">
      <alignment vertical="center"/>
    </xf>
    <xf numFmtId="0" fontId="222" fillId="0" borderId="3" xfId="0" applyFont="1" applyFill="1" applyBorder="1" applyAlignment="1" applyProtection="1">
      <alignment vertical="center"/>
    </xf>
    <xf numFmtId="0" fontId="222" fillId="0" borderId="19" xfId="0" applyFont="1" applyFill="1" applyBorder="1" applyAlignment="1" applyProtection="1">
      <alignment vertical="center"/>
    </xf>
    <xf numFmtId="0" fontId="222" fillId="0" borderId="41" xfId="0" applyFont="1" applyFill="1" applyBorder="1" applyAlignment="1" applyProtection="1">
      <alignment vertical="center"/>
    </xf>
    <xf numFmtId="0" fontId="222" fillId="0" borderId="17" xfId="0" applyFont="1" applyFill="1" applyBorder="1" applyAlignment="1" applyProtection="1">
      <alignment vertical="center"/>
    </xf>
    <xf numFmtId="0" fontId="222" fillId="0" borderId="29" xfId="0" applyFont="1" applyFill="1" applyBorder="1" applyAlignment="1" applyProtection="1">
      <alignment vertical="center"/>
    </xf>
    <xf numFmtId="0" fontId="222" fillId="0" borderId="40" xfId="0" applyFont="1" applyFill="1" applyBorder="1" applyAlignment="1" applyProtection="1">
      <alignment horizontal="left" vertical="center"/>
    </xf>
    <xf numFmtId="0" fontId="222" fillId="0" borderId="3" xfId="0" applyFont="1" applyFill="1" applyBorder="1" applyAlignment="1" applyProtection="1">
      <alignment horizontal="left" vertical="center"/>
    </xf>
    <xf numFmtId="0" fontId="222" fillId="0" borderId="19" xfId="0" applyFont="1" applyFill="1" applyBorder="1" applyAlignment="1" applyProtection="1">
      <alignment horizontal="left" vertical="center"/>
    </xf>
    <xf numFmtId="0" fontId="222" fillId="0" borderId="42" xfId="0" applyFont="1" applyFill="1" applyBorder="1" applyAlignment="1" applyProtection="1">
      <alignment horizontal="left" vertical="center"/>
    </xf>
    <xf numFmtId="0" fontId="222" fillId="0" borderId="8" xfId="0" applyFont="1" applyFill="1" applyBorder="1" applyAlignment="1" applyProtection="1">
      <alignment horizontal="left" vertical="center"/>
    </xf>
    <xf numFmtId="0" fontId="222" fillId="0" borderId="11" xfId="0" applyFont="1" applyFill="1" applyBorder="1" applyAlignment="1" applyProtection="1">
      <alignment horizontal="left" vertical="center"/>
    </xf>
    <xf numFmtId="0" fontId="222" fillId="0" borderId="45" xfId="0" applyFont="1" applyFill="1" applyBorder="1" applyAlignment="1" applyProtection="1">
      <alignment horizontal="center" vertical="center" wrapText="1"/>
    </xf>
    <xf numFmtId="0" fontId="222" fillId="0" borderId="2" xfId="0" applyFont="1" applyFill="1" applyBorder="1" applyAlignment="1" applyProtection="1">
      <alignment horizontal="right" vertical="center"/>
    </xf>
    <xf numFmtId="0" fontId="1" fillId="0" borderId="16" xfId="0" applyFont="1" applyBorder="1"/>
    <xf numFmtId="0" fontId="0" fillId="0" borderId="194" xfId="0" applyBorder="1"/>
    <xf numFmtId="0" fontId="3" fillId="0" borderId="28" xfId="0" applyFont="1" applyBorder="1"/>
    <xf numFmtId="0" fontId="285" fillId="6" borderId="28" xfId="0" applyFont="1" applyFill="1" applyBorder="1" applyAlignment="1">
      <alignment horizontal="center"/>
    </xf>
    <xf numFmtId="0" fontId="285" fillId="6" borderId="49" xfId="0" applyFont="1" applyFill="1" applyBorder="1" applyAlignment="1">
      <alignment horizontal="center"/>
    </xf>
    <xf numFmtId="0" fontId="9" fillId="6" borderId="22" xfId="0" applyFont="1" applyFill="1" applyBorder="1" applyAlignment="1">
      <alignment horizontal="center"/>
    </xf>
    <xf numFmtId="0" fontId="0" fillId="0" borderId="28" xfId="0" applyBorder="1"/>
    <xf numFmtId="0" fontId="9" fillId="6" borderId="35" xfId="0" applyFont="1" applyFill="1" applyBorder="1" applyAlignment="1">
      <alignment horizontal="center"/>
    </xf>
    <xf numFmtId="0" fontId="3" fillId="0" borderId="40" xfId="0" applyFont="1" applyBorder="1"/>
    <xf numFmtId="0" fontId="1" fillId="0" borderId="4" xfId="0" applyFont="1" applyBorder="1"/>
    <xf numFmtId="49" fontId="3" fillId="0" borderId="4" xfId="0" applyNumberFormat="1" applyFont="1" applyBorder="1" applyAlignment="1">
      <alignment horizontal="center"/>
    </xf>
    <xf numFmtId="49" fontId="0" fillId="0" borderId="4" xfId="0" applyNumberFormat="1" applyBorder="1" applyAlignment="1">
      <alignment horizontal="center"/>
    </xf>
    <xf numFmtId="0" fontId="0" fillId="0" borderId="28" xfId="0" applyBorder="1" applyAlignment="1">
      <alignment horizontal="center"/>
    </xf>
    <xf numFmtId="0" fontId="3" fillId="0" borderId="16" xfId="0" applyFont="1" applyBorder="1" applyAlignment="1">
      <alignment horizontal="left"/>
    </xf>
    <xf numFmtId="0" fontId="3" fillId="0" borderId="18" xfId="0" applyFont="1" applyBorder="1" applyAlignment="1">
      <alignment horizontal="left"/>
    </xf>
    <xf numFmtId="0" fontId="3" fillId="0" borderId="18" xfId="0" applyFont="1" applyBorder="1" applyAlignment="1">
      <alignment horizontal="center"/>
    </xf>
    <xf numFmtId="49" fontId="3" fillId="0" borderId="32" xfId="0" applyNumberFormat="1" applyFont="1" applyBorder="1" applyAlignment="1">
      <alignment horizontal="center"/>
    </xf>
    <xf numFmtId="0" fontId="3" fillId="0" borderId="43" xfId="0" applyFont="1" applyBorder="1"/>
    <xf numFmtId="0" fontId="3" fillId="0" borderId="18" xfId="0" applyFont="1" applyBorder="1"/>
    <xf numFmtId="49" fontId="3" fillId="0" borderId="18" xfId="0" applyNumberFormat="1" applyFont="1" applyBorder="1" applyAlignment="1">
      <alignment horizontal="center"/>
    </xf>
    <xf numFmtId="0" fontId="3" fillId="0" borderId="28" xfId="0" applyFont="1" applyBorder="1" applyAlignment="1">
      <alignment horizontal="center"/>
    </xf>
    <xf numFmtId="0" fontId="0" fillId="0" borderId="18" xfId="0" applyBorder="1"/>
    <xf numFmtId="0" fontId="3" fillId="0" borderId="44" xfId="0" applyFont="1" applyBorder="1"/>
    <xf numFmtId="0" fontId="3" fillId="0" borderId="22" xfId="0" applyFont="1" applyBorder="1"/>
    <xf numFmtId="49" fontId="3" fillId="0" borderId="22"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49" xfId="0" applyFont="1" applyBorder="1" applyAlignment="1">
      <alignment horizontal="center"/>
    </xf>
    <xf numFmtId="0" fontId="3" fillId="0" borderId="22" xfId="0" applyFont="1" applyBorder="1" applyAlignment="1">
      <alignment horizontal="center"/>
    </xf>
    <xf numFmtId="0" fontId="1" fillId="0" borderId="24" xfId="0" applyFont="1" applyBorder="1" applyAlignment="1">
      <alignment horizontal="left"/>
    </xf>
    <xf numFmtId="0" fontId="1" fillId="0" borderId="24" xfId="0" applyFont="1" applyBorder="1"/>
    <xf numFmtId="0" fontId="1" fillId="0" borderId="24" xfId="0" applyFont="1" applyBorder="1" applyAlignment="1">
      <alignment horizontal="center"/>
    </xf>
    <xf numFmtId="0" fontId="1" fillId="0" borderId="35" xfId="0" applyFont="1" applyBorder="1" applyAlignment="1">
      <alignment horizontal="center"/>
    </xf>
    <xf numFmtId="0" fontId="3" fillId="0" borderId="16" xfId="0" applyFont="1" applyBorder="1"/>
    <xf numFmtId="0" fontId="3" fillId="0" borderId="6" xfId="0" applyFont="1" applyBorder="1"/>
    <xf numFmtId="0" fontId="3" fillId="0" borderId="6" xfId="0" applyFont="1" applyBorder="1" applyAlignment="1">
      <alignment horizontal="center"/>
    </xf>
    <xf numFmtId="0" fontId="3" fillId="0" borderId="32" xfId="0" applyFont="1" applyBorder="1"/>
    <xf numFmtId="0" fontId="3" fillId="0" borderId="198" xfId="0" applyFont="1" applyBorder="1"/>
    <xf numFmtId="0" fontId="3" fillId="0" borderId="56" xfId="0" applyFont="1" applyBorder="1"/>
    <xf numFmtId="0" fontId="3" fillId="0" borderId="56" xfId="0" applyFont="1" applyBorder="1" applyAlignment="1">
      <alignment horizontal="center"/>
    </xf>
    <xf numFmtId="0" fontId="3" fillId="0" borderId="39" xfId="0" applyFont="1" applyBorder="1"/>
    <xf numFmtId="0" fontId="3" fillId="0" borderId="149" xfId="0" applyFont="1" applyBorder="1" applyAlignment="1">
      <alignment horizontal="center"/>
    </xf>
    <xf numFmtId="0" fontId="3" fillId="0" borderId="68" xfId="0" applyFont="1" applyBorder="1"/>
    <xf numFmtId="0" fontId="3" fillId="2" borderId="0" xfId="0" applyFont="1" applyFill="1" applyAlignment="1">
      <alignment horizontal="center"/>
    </xf>
    <xf numFmtId="0" fontId="9" fillId="0" borderId="0" xfId="0" applyFont="1" applyAlignment="1">
      <alignment vertical="center"/>
    </xf>
    <xf numFmtId="0" fontId="3" fillId="0" borderId="0" xfId="0" applyFont="1"/>
    <xf numFmtId="0" fontId="9" fillId="0" borderId="149" xfId="0" applyFont="1" applyBorder="1" applyAlignment="1">
      <alignment horizontal="right"/>
    </xf>
    <xf numFmtId="0" fontId="14" fillId="12" borderId="16" xfId="0" applyNumberFormat="1" applyFont="1" applyFill="1" applyBorder="1" applyAlignment="1" applyProtection="1">
      <alignment horizontal="center" vertical="center"/>
    </xf>
    <xf numFmtId="0" fontId="1" fillId="0" borderId="5" xfId="0" applyFont="1" applyBorder="1"/>
    <xf numFmtId="0" fontId="1" fillId="0" borderId="8" xfId="0" applyFont="1" applyBorder="1"/>
    <xf numFmtId="0" fontId="3" fillId="0" borderId="45" xfId="0" applyFont="1" applyBorder="1" applyAlignment="1">
      <alignment vertical="center"/>
    </xf>
    <xf numFmtId="0" fontId="0" fillId="0" borderId="45" xfId="0" applyBorder="1"/>
    <xf numFmtId="0" fontId="1" fillId="0" borderId="45" xfId="0" applyFont="1" applyBorder="1"/>
    <xf numFmtId="0" fontId="47" fillId="0" borderId="45" xfId="0" applyFont="1" applyBorder="1" applyAlignment="1">
      <alignment horizontal="center" vertical="center"/>
    </xf>
    <xf numFmtId="0" fontId="320" fillId="0" borderId="45" xfId="0" applyFont="1" applyBorder="1" applyAlignment="1">
      <alignment horizontal="right" vertical="center"/>
    </xf>
    <xf numFmtId="2" fontId="3" fillId="0" borderId="0" xfId="0" applyNumberFormat="1" applyFont="1" applyBorder="1" applyAlignment="1">
      <alignment vertical="center"/>
    </xf>
    <xf numFmtId="0" fontId="47" fillId="0" borderId="0" xfId="0" applyFont="1" applyBorder="1" applyAlignment="1">
      <alignment horizontal="center" vertical="center"/>
    </xf>
    <xf numFmtId="0" fontId="320" fillId="0" borderId="0" xfId="0" applyFont="1" applyBorder="1" applyAlignment="1">
      <alignment horizontal="right" vertical="center"/>
    </xf>
    <xf numFmtId="2" fontId="3" fillId="0" borderId="43" xfId="0" applyNumberFormat="1" applyFont="1" applyBorder="1" applyAlignment="1">
      <alignment vertical="center"/>
    </xf>
    <xf numFmtId="0" fontId="3" fillId="0" borderId="44" xfId="0" applyFont="1" applyBorder="1" applyAlignment="1">
      <alignment vertical="center"/>
    </xf>
    <xf numFmtId="0" fontId="3" fillId="0" borderId="43" xfId="0" applyFont="1" applyBorder="1" applyAlignment="1">
      <alignment vertical="center"/>
    </xf>
    <xf numFmtId="0" fontId="93" fillId="0" borderId="0" xfId="0" applyFont="1" applyFill="1" applyBorder="1" applyAlignment="1" applyProtection="1">
      <alignment horizontal="right" vertical="center"/>
    </xf>
    <xf numFmtId="0" fontId="197" fillId="0" borderId="13" xfId="0" applyFont="1" applyFill="1" applyBorder="1" applyAlignment="1" applyProtection="1">
      <alignment horizontal="right"/>
    </xf>
    <xf numFmtId="0" fontId="197" fillId="0" borderId="23" xfId="0" applyFont="1" applyFill="1" applyBorder="1" applyAlignment="1" applyProtection="1">
      <alignment horizontal="right"/>
    </xf>
    <xf numFmtId="0" fontId="320" fillId="0" borderId="6" xfId="0" applyFont="1" applyBorder="1" applyAlignment="1">
      <alignment horizontal="right" vertical="center"/>
    </xf>
    <xf numFmtId="0" fontId="3" fillId="0" borderId="171" xfId="0" applyFont="1" applyBorder="1" applyAlignment="1">
      <alignment horizontal="left"/>
    </xf>
    <xf numFmtId="0" fontId="16" fillId="0" borderId="102" xfId="0" applyFont="1" applyFill="1" applyBorder="1" applyAlignment="1" applyProtection="1">
      <alignment vertical="center"/>
    </xf>
    <xf numFmtId="0" fontId="3" fillId="0" borderId="102" xfId="0" applyFont="1" applyBorder="1"/>
    <xf numFmtId="0" fontId="67" fillId="0" borderId="102" xfId="0" applyFont="1" applyFill="1" applyBorder="1" applyAlignment="1" applyProtection="1">
      <alignment vertical="center"/>
    </xf>
    <xf numFmtId="0" fontId="197" fillId="0" borderId="18" xfId="0" applyFont="1" applyFill="1" applyBorder="1" applyAlignment="1" applyProtection="1">
      <alignment horizontal="right"/>
    </xf>
    <xf numFmtId="0" fontId="106" fillId="16" borderId="23" xfId="0" applyFont="1" applyFill="1" applyBorder="1" applyAlignment="1" applyProtection="1">
      <alignment horizontal="right" vertical="center"/>
    </xf>
    <xf numFmtId="186" fontId="99" fillId="22" borderId="133" xfId="0" applyNumberFormat="1" applyFont="1" applyFill="1" applyBorder="1" applyAlignment="1" applyProtection="1">
      <alignment horizontal="center" vertical="center"/>
    </xf>
    <xf numFmtId="186" fontId="99" fillId="22" borderId="124" xfId="0" applyNumberFormat="1" applyFont="1" applyFill="1" applyBorder="1" applyAlignment="1" applyProtection="1">
      <alignment horizontal="center" vertical="center"/>
    </xf>
    <xf numFmtId="164" fontId="99" fillId="22" borderId="76" xfId="0" applyNumberFormat="1" applyFont="1" applyFill="1" applyBorder="1" applyAlignment="1" applyProtection="1">
      <alignment horizontal="center" vertical="center"/>
    </xf>
    <xf numFmtId="0" fontId="151" fillId="0" borderId="45" xfId="0" applyFont="1" applyFill="1" applyBorder="1" applyAlignment="1" applyProtection="1">
      <alignment horizontal="left"/>
    </xf>
    <xf numFmtId="0" fontId="32" fillId="0" borderId="45" xfId="0" applyFont="1" applyFill="1" applyBorder="1" applyAlignment="1" applyProtection="1">
      <alignment vertical="center"/>
    </xf>
    <xf numFmtId="0" fontId="313" fillId="0" borderId="17" xfId="1" applyFont="1" applyFill="1" applyBorder="1" applyAlignment="1" applyProtection="1">
      <alignment horizontal="left"/>
    </xf>
    <xf numFmtId="0" fontId="105" fillId="0" borderId="17" xfId="0" applyFont="1" applyFill="1" applyBorder="1" applyAlignment="1" applyProtection="1">
      <alignment horizontal="center" vertical="center" wrapText="1"/>
    </xf>
    <xf numFmtId="0" fontId="105" fillId="0" borderId="17" xfId="0" applyFont="1" applyFill="1" applyBorder="1" applyAlignment="1" applyProtection="1">
      <alignment horizontal="right"/>
    </xf>
    <xf numFmtId="0" fontId="138" fillId="18" borderId="51" xfId="0" applyFont="1" applyFill="1" applyBorder="1" applyAlignment="1" applyProtection="1">
      <alignment vertical="center"/>
    </xf>
    <xf numFmtId="0" fontId="47" fillId="0" borderId="26" xfId="0" applyFont="1" applyFill="1" applyBorder="1" applyAlignment="1" applyProtection="1">
      <alignment horizontal="right" vertical="center"/>
    </xf>
    <xf numFmtId="0" fontId="105" fillId="0" borderId="8" xfId="0" applyFont="1" applyFill="1" applyBorder="1" applyAlignment="1" applyProtection="1">
      <alignment horizontal="right" vertical="center"/>
    </xf>
    <xf numFmtId="178" fontId="98" fillId="7" borderId="7" xfId="0" applyNumberFormat="1" applyFont="1" applyFill="1" applyBorder="1" applyAlignment="1" applyProtection="1">
      <alignment horizontal="center" vertical="center"/>
      <protection locked="0"/>
    </xf>
    <xf numFmtId="0" fontId="97" fillId="0" borderId="95" xfId="0" applyFont="1" applyFill="1" applyBorder="1" applyAlignment="1" applyProtection="1">
      <alignment vertical="center"/>
    </xf>
    <xf numFmtId="0" fontId="33" fillId="0" borderId="8" xfId="0" applyFont="1" applyFill="1" applyBorder="1" applyAlignment="1" applyProtection="1">
      <alignment vertical="center"/>
    </xf>
    <xf numFmtId="0" fontId="222" fillId="0" borderId="8" xfId="0" applyFont="1" applyFill="1" applyBorder="1" applyAlignment="1" applyProtection="1">
      <alignment horizontal="right" vertical="center"/>
    </xf>
    <xf numFmtId="170" fontId="98" fillId="7" borderId="7" xfId="0" applyNumberFormat="1" applyFont="1" applyFill="1" applyBorder="1" applyAlignment="1" applyProtection="1">
      <alignment horizontal="center" vertical="center"/>
      <protection locked="0"/>
    </xf>
    <xf numFmtId="0" fontId="97" fillId="0" borderId="95" xfId="0" applyFont="1" applyFill="1" applyBorder="1" applyAlignment="1" applyProtection="1">
      <alignment horizontal="left" vertical="center"/>
    </xf>
    <xf numFmtId="0" fontId="318" fillId="0" borderId="0" xfId="0" applyFont="1" applyFill="1" applyBorder="1" applyAlignment="1" applyProtection="1">
      <alignment vertical="center"/>
    </xf>
    <xf numFmtId="0" fontId="222" fillId="0" borderId="45" xfId="0" applyFont="1" applyFill="1" applyBorder="1" applyAlignment="1" applyProtection="1">
      <alignment horizontal="right" vertical="center" wrapText="1"/>
    </xf>
    <xf numFmtId="0" fontId="105" fillId="0" borderId="45" xfId="0" applyFont="1" applyFill="1" applyBorder="1" applyAlignment="1" applyProtection="1">
      <alignment horizontal="right" vertical="center"/>
    </xf>
    <xf numFmtId="171" fontId="98" fillId="0" borderId="45" xfId="0" applyNumberFormat="1" applyFont="1" applyFill="1" applyBorder="1" applyAlignment="1" applyProtection="1">
      <alignment horizontal="center" vertical="center"/>
      <protection locked="0"/>
    </xf>
    <xf numFmtId="0" fontId="314" fillId="0" borderId="45" xfId="0" applyFont="1" applyFill="1" applyBorder="1" applyAlignment="1" applyProtection="1">
      <alignment vertical="center"/>
    </xf>
    <xf numFmtId="0" fontId="315" fillId="0" borderId="45" xfId="0" applyFont="1" applyFill="1" applyBorder="1" applyAlignment="1" applyProtection="1">
      <alignment horizontal="right" vertical="center"/>
    </xf>
    <xf numFmtId="0" fontId="316" fillId="0" borderId="45" xfId="0" applyFont="1" applyFill="1" applyBorder="1" applyAlignment="1" applyProtection="1">
      <alignment horizontal="right" vertical="center"/>
    </xf>
    <xf numFmtId="186" fontId="317" fillId="0" borderId="45" xfId="0" applyNumberFormat="1" applyFont="1" applyFill="1" applyBorder="1" applyAlignment="1" applyProtection="1">
      <alignment horizontal="left" vertical="center"/>
      <protection locked="0"/>
    </xf>
    <xf numFmtId="0" fontId="328" fillId="0" borderId="129" xfId="0" applyFont="1" applyBorder="1"/>
    <xf numFmtId="0" fontId="329" fillId="0" borderId="16" xfId="0" applyFont="1" applyBorder="1"/>
    <xf numFmtId="0" fontId="329" fillId="0" borderId="0" xfId="0" applyFont="1" applyBorder="1"/>
    <xf numFmtId="0" fontId="330" fillId="0" borderId="0" xfId="0" applyFont="1" applyFill="1" applyAlignment="1" applyProtection="1">
      <alignment vertical="center"/>
    </xf>
    <xf numFmtId="0" fontId="330" fillId="0" borderId="16" xfId="0" applyFont="1" applyFill="1" applyBorder="1" applyAlignment="1" applyProtection="1">
      <alignment vertical="center"/>
    </xf>
    <xf numFmtId="175" fontId="332" fillId="0" borderId="1" xfId="0" applyNumberFormat="1" applyFont="1" applyBorder="1" applyAlignment="1">
      <alignment horizontal="right"/>
    </xf>
    <xf numFmtId="0" fontId="333" fillId="0" borderId="1" xfId="0" applyFont="1" applyFill="1" applyBorder="1" applyAlignment="1" applyProtection="1">
      <alignment horizontal="center" vertical="center"/>
    </xf>
    <xf numFmtId="173" fontId="334" fillId="0" borderId="10" xfId="0" applyNumberFormat="1" applyFont="1" applyFill="1" applyBorder="1" applyAlignment="1" applyProtection="1">
      <alignment horizontal="left" vertical="center"/>
    </xf>
    <xf numFmtId="0" fontId="330" fillId="0" borderId="13" xfId="0" applyFont="1" applyFill="1" applyBorder="1" applyAlignment="1" applyProtection="1">
      <alignment vertical="center"/>
    </xf>
    <xf numFmtId="0" fontId="330" fillId="0" borderId="5" xfId="0" applyFont="1" applyFill="1" applyBorder="1" applyAlignment="1" applyProtection="1">
      <alignment vertical="center"/>
    </xf>
    <xf numFmtId="0" fontId="329" fillId="0" borderId="5" xfId="0" applyFont="1" applyBorder="1"/>
    <xf numFmtId="0" fontId="332" fillId="0" borderId="1" xfId="0" applyFont="1" applyBorder="1" applyAlignment="1">
      <alignment horizontal="right"/>
    </xf>
    <xf numFmtId="175" fontId="344" fillId="0" borderId="6" xfId="0" applyNumberFormat="1" applyFont="1" applyBorder="1" applyAlignment="1">
      <alignment horizontal="right"/>
    </xf>
    <xf numFmtId="0" fontId="333" fillId="0" borderId="5" xfId="0" applyFont="1" applyFill="1" applyBorder="1" applyAlignment="1" applyProtection="1">
      <alignment horizontal="center"/>
    </xf>
    <xf numFmtId="173" fontId="340" fillId="0" borderId="10" xfId="0" applyNumberFormat="1" applyFont="1" applyFill="1" applyBorder="1" applyAlignment="1" applyProtection="1">
      <alignment horizontal="left" vertical="center"/>
    </xf>
    <xf numFmtId="0" fontId="343" fillId="0" borderId="13" xfId="0" applyFont="1" applyFill="1" applyBorder="1" applyAlignment="1" applyProtection="1">
      <alignment vertical="center"/>
    </xf>
    <xf numFmtId="0" fontId="344" fillId="0" borderId="6" xfId="0" applyFont="1" applyBorder="1" applyAlignment="1">
      <alignment horizontal="right"/>
    </xf>
    <xf numFmtId="0" fontId="342" fillId="0" borderId="10" xfId="0" applyFont="1" applyFill="1" applyBorder="1" applyAlignment="1" applyProtection="1">
      <alignment horizontal="left" vertical="center"/>
    </xf>
    <xf numFmtId="0" fontId="344" fillId="0" borderId="5" xfId="0" applyFont="1" applyBorder="1" applyAlignment="1">
      <alignment horizontal="right"/>
    </xf>
    <xf numFmtId="0" fontId="333" fillId="0" borderId="1" xfId="0" applyFont="1" applyFill="1" applyBorder="1" applyAlignment="1" applyProtection="1">
      <alignment horizontal="center"/>
    </xf>
    <xf numFmtId="0" fontId="342" fillId="0" borderId="5" xfId="0" applyFont="1" applyFill="1" applyBorder="1" applyAlignment="1" applyProtection="1">
      <alignment horizontal="left" vertical="center"/>
    </xf>
    <xf numFmtId="0" fontId="330" fillId="0" borderId="8" xfId="0" applyFont="1" applyFill="1" applyBorder="1" applyAlignment="1" applyProtection="1">
      <alignment vertical="center"/>
    </xf>
    <xf numFmtId="0" fontId="329" fillId="0" borderId="8" xfId="0" applyFont="1" applyBorder="1"/>
    <xf numFmtId="0" fontId="333" fillId="0" borderId="7" xfId="0" applyFont="1" applyFill="1" applyBorder="1" applyAlignment="1" applyProtection="1">
      <alignment horizontal="center" vertical="center"/>
    </xf>
    <xf numFmtId="0" fontId="15" fillId="0" borderId="17" xfId="0" applyFont="1" applyFill="1" applyBorder="1" applyAlignment="1" applyProtection="1">
      <alignment vertical="center"/>
    </xf>
    <xf numFmtId="0" fontId="155" fillId="0" borderId="0" xfId="0" applyFont="1" applyFill="1" applyBorder="1" applyAlignment="1" applyProtection="1">
      <alignment horizontal="left" vertical="center"/>
      <protection locked="0"/>
    </xf>
    <xf numFmtId="0" fontId="348" fillId="0" borderId="0" xfId="0" applyFont="1" applyFill="1" applyAlignment="1" applyProtection="1"/>
    <xf numFmtId="170" fontId="219" fillId="0" borderId="1" xfId="0" applyNumberFormat="1" applyFont="1" applyFill="1" applyBorder="1" applyAlignment="1" applyProtection="1">
      <alignment horizontal="center" vertical="center"/>
    </xf>
    <xf numFmtId="0" fontId="239" fillId="0" borderId="0" xfId="0" applyFont="1" applyFill="1" applyBorder="1" applyAlignment="1" applyProtection="1">
      <alignment horizontal="left" vertical="center"/>
    </xf>
    <xf numFmtId="0" fontId="219" fillId="0" borderId="0" xfId="0" applyFont="1" applyFill="1" applyBorder="1" applyAlignment="1" applyProtection="1">
      <alignment horizontal="right" vertical="center"/>
    </xf>
    <xf numFmtId="175" fontId="331" fillId="0" borderId="54" xfId="0" applyNumberFormat="1" applyFont="1" applyBorder="1" applyAlignment="1">
      <alignment vertical="center"/>
    </xf>
    <xf numFmtId="0" fontId="331" fillId="0" borderId="43" xfId="0" applyFont="1" applyBorder="1"/>
    <xf numFmtId="0" fontId="331" fillId="0" borderId="54" xfId="0" applyFont="1" applyBorder="1"/>
    <xf numFmtId="0" fontId="331" fillId="0" borderId="42" xfId="0" applyFont="1" applyBorder="1"/>
    <xf numFmtId="0" fontId="342" fillId="0" borderId="16" xfId="0" applyFont="1" applyFill="1" applyBorder="1" applyAlignment="1" applyProtection="1">
      <alignment horizontal="left" vertical="center"/>
    </xf>
    <xf numFmtId="0" fontId="343" fillId="0" borderId="18" xfId="0" applyFont="1" applyFill="1" applyBorder="1" applyAlignment="1" applyProtection="1">
      <alignment vertical="center"/>
    </xf>
    <xf numFmtId="0" fontId="257" fillId="0" borderId="137" xfId="0" applyFont="1" applyFill="1" applyBorder="1" applyAlignment="1" applyProtection="1">
      <alignment vertical="center" wrapText="1"/>
    </xf>
    <xf numFmtId="0" fontId="257" fillId="0" borderId="133" xfId="0" applyFont="1" applyFill="1" applyBorder="1" applyAlignment="1" applyProtection="1">
      <alignment vertical="center" wrapText="1"/>
    </xf>
    <xf numFmtId="0" fontId="255" fillId="0" borderId="0" xfId="0" applyFont="1" applyFill="1" applyBorder="1" applyAlignment="1" applyProtection="1">
      <alignment horizontal="left" vertical="center"/>
    </xf>
    <xf numFmtId="0" fontId="236" fillId="0" borderId="0" xfId="0" applyFont="1" applyFill="1" applyBorder="1" applyAlignment="1" applyProtection="1">
      <alignment horizontal="right" vertical="center"/>
    </xf>
    <xf numFmtId="0" fontId="239" fillId="0" borderId="0" xfId="0" applyFont="1" applyFill="1" applyBorder="1" applyAlignment="1" applyProtection="1">
      <alignment horizontal="center" vertical="center"/>
    </xf>
    <xf numFmtId="0" fontId="215" fillId="0" borderId="42" xfId="0" applyFont="1" applyFill="1" applyBorder="1" applyAlignment="1" applyProtection="1">
      <alignment vertical="center"/>
    </xf>
    <xf numFmtId="0" fontId="271" fillId="0" borderId="0" xfId="0" applyFont="1" applyFill="1" applyBorder="1" applyAlignment="1" applyProtection="1">
      <alignment horizontal="left" vertical="center"/>
      <protection locked="0"/>
    </xf>
    <xf numFmtId="0" fontId="272" fillId="0" borderId="0" xfId="0" applyFont="1" applyFill="1" applyBorder="1" applyAlignment="1" applyProtection="1">
      <alignment vertical="center"/>
      <protection locked="0"/>
    </xf>
    <xf numFmtId="0" fontId="271" fillId="0" borderId="0" xfId="0" applyFont="1" applyFill="1" applyBorder="1" applyAlignment="1" applyProtection="1">
      <alignment vertical="center"/>
      <protection locked="0"/>
    </xf>
    <xf numFmtId="0" fontId="274" fillId="0" borderId="0" xfId="0" applyFont="1" applyFill="1" applyBorder="1" applyAlignment="1" applyProtection="1">
      <alignment vertical="center"/>
      <protection locked="0"/>
    </xf>
    <xf numFmtId="0" fontId="340" fillId="0" borderId="0" xfId="0" applyFont="1" applyFill="1" applyBorder="1" applyAlignment="1">
      <alignment horizontal="right"/>
    </xf>
    <xf numFmtId="173" fontId="334" fillId="0" borderId="0" xfId="0" applyNumberFormat="1" applyFont="1" applyFill="1" applyBorder="1" applyAlignment="1" applyProtection="1">
      <alignment horizontal="left" vertical="center"/>
    </xf>
    <xf numFmtId="0" fontId="328" fillId="0" borderId="110" xfId="0" applyFont="1" applyBorder="1"/>
    <xf numFmtId="175" fontId="331" fillId="0" borderId="43" xfId="0" applyNumberFormat="1" applyFont="1" applyBorder="1" applyAlignment="1">
      <alignment vertical="center"/>
    </xf>
    <xf numFmtId="0" fontId="330" fillId="0" borderId="4" xfId="0" applyFont="1" applyFill="1" applyBorder="1" applyAlignment="1" applyProtection="1">
      <alignment vertical="center"/>
    </xf>
    <xf numFmtId="0" fontId="331" fillId="0" borderId="0" xfId="0" applyFont="1" applyFill="1" applyBorder="1" applyAlignment="1">
      <alignment vertical="center"/>
    </xf>
    <xf numFmtId="0" fontId="222" fillId="0" borderId="41" xfId="0" applyFont="1" applyFill="1" applyBorder="1" applyAlignment="1" applyProtection="1">
      <alignment horizontal="left" vertical="center"/>
    </xf>
    <xf numFmtId="0" fontId="222" fillId="0" borderId="17" xfId="0" applyFont="1" applyFill="1" applyBorder="1" applyAlignment="1" applyProtection="1">
      <alignment horizontal="left" vertical="center"/>
    </xf>
    <xf numFmtId="0" fontId="222" fillId="0" borderId="29" xfId="0" applyFont="1" applyFill="1" applyBorder="1" applyAlignment="1" applyProtection="1">
      <alignment horizontal="left" vertical="center"/>
    </xf>
    <xf numFmtId="0" fontId="222" fillId="0" borderId="131" xfId="0" applyFont="1" applyFill="1" applyBorder="1" applyAlignment="1" applyProtection="1">
      <alignment horizontal="left" vertical="center"/>
    </xf>
    <xf numFmtId="0" fontId="222" fillId="0" borderId="45" xfId="0" applyFont="1" applyFill="1" applyBorder="1" applyAlignment="1" applyProtection="1">
      <alignment horizontal="left" vertical="center"/>
    </xf>
    <xf numFmtId="189" fontId="223" fillId="0" borderId="37" xfId="0" applyNumberFormat="1" applyFont="1" applyFill="1" applyBorder="1" applyAlignment="1" applyProtection="1">
      <alignment horizontal="center" vertical="center"/>
    </xf>
    <xf numFmtId="0" fontId="250" fillId="0" borderId="25" xfId="0" applyFont="1" applyFill="1" applyBorder="1" applyAlignment="1" applyProtection="1">
      <alignment horizontal="right" vertical="center"/>
    </xf>
    <xf numFmtId="0" fontId="234" fillId="0" borderId="31" xfId="0" applyFont="1" applyFill="1" applyBorder="1" applyAlignment="1" applyProtection="1">
      <alignment horizontal="right" vertical="center"/>
    </xf>
    <xf numFmtId="0" fontId="234" fillId="0" borderId="31" xfId="0" applyFont="1" applyFill="1" applyBorder="1" applyAlignment="1" applyProtection="1">
      <alignment horizontal="center" vertical="center"/>
    </xf>
    <xf numFmtId="0" fontId="222" fillId="0" borderId="21" xfId="0" applyFont="1" applyFill="1" applyBorder="1" applyAlignment="1" applyProtection="1">
      <alignment horizontal="left" vertical="center"/>
    </xf>
    <xf numFmtId="191" fontId="222" fillId="0" borderId="5" xfId="0" applyNumberFormat="1" applyFont="1" applyFill="1" applyBorder="1" applyAlignment="1" applyProtection="1">
      <alignment vertical="center"/>
    </xf>
    <xf numFmtId="0" fontId="239" fillId="0" borderId="13" xfId="0" applyFont="1" applyFill="1" applyBorder="1" applyAlignment="1" applyProtection="1">
      <alignment vertical="center"/>
    </xf>
    <xf numFmtId="185" fontId="222" fillId="0" borderId="5" xfId="0" applyNumberFormat="1" applyFont="1" applyFill="1" applyBorder="1" applyAlignment="1" applyProtection="1">
      <alignment vertical="center"/>
    </xf>
    <xf numFmtId="185" fontId="222" fillId="0" borderId="8" xfId="0" applyNumberFormat="1" applyFont="1" applyFill="1" applyBorder="1" applyAlignment="1" applyProtection="1">
      <alignment vertical="center"/>
    </xf>
    <xf numFmtId="0" fontId="239" fillId="0" borderId="23" xfId="0" applyFont="1" applyFill="1" applyBorder="1" applyAlignment="1" applyProtection="1">
      <alignment vertical="center"/>
    </xf>
    <xf numFmtId="0" fontId="32" fillId="0" borderId="51" xfId="0" applyFont="1" applyFill="1" applyBorder="1" applyAlignment="1" applyProtection="1">
      <alignment vertical="center"/>
    </xf>
    <xf numFmtId="0" fontId="70" fillId="0" borderId="0" xfId="0" applyFont="1" applyFill="1" applyBorder="1" applyAlignment="1" applyProtection="1">
      <alignment vertical="center" wrapText="1"/>
    </xf>
    <xf numFmtId="0" fontId="239" fillId="0" borderId="4" xfId="0" applyFont="1" applyFill="1" applyBorder="1" applyAlignment="1" applyProtection="1">
      <alignment vertical="center"/>
    </xf>
    <xf numFmtId="0" fontId="211" fillId="14" borderId="8" xfId="0" applyFont="1" applyFill="1" applyBorder="1" applyAlignment="1" applyProtection="1">
      <alignment horizontal="right" vertical="center"/>
    </xf>
    <xf numFmtId="0" fontId="9" fillId="0" borderId="137" xfId="0" applyFont="1" applyFill="1" applyBorder="1" applyAlignment="1" applyProtection="1">
      <alignment horizontal="right" vertical="center"/>
    </xf>
    <xf numFmtId="173" fontId="190" fillId="0" borderId="137" xfId="0" applyNumberFormat="1" applyFont="1" applyFill="1" applyBorder="1" applyAlignment="1" applyProtection="1">
      <alignment horizontal="left" vertical="center"/>
    </xf>
    <xf numFmtId="0" fontId="194" fillId="0" borderId="133" xfId="0" applyFont="1" applyFill="1" applyBorder="1" applyAlignment="1" applyProtection="1">
      <alignment horizontal="right" vertical="center"/>
    </xf>
    <xf numFmtId="0" fontId="9" fillId="0" borderId="188" xfId="0" applyFont="1" applyFill="1" applyBorder="1" applyAlignment="1" applyProtection="1">
      <alignment horizontal="right" vertical="center"/>
    </xf>
    <xf numFmtId="173" fontId="190" fillId="0" borderId="72" xfId="0" applyNumberFormat="1" applyFont="1" applyFill="1" applyBorder="1" applyAlignment="1" applyProtection="1">
      <alignment horizontal="left" vertical="center"/>
    </xf>
    <xf numFmtId="165" fontId="211" fillId="14" borderId="8" xfId="0" applyNumberFormat="1" applyFont="1" applyFill="1" applyBorder="1" applyAlignment="1" applyProtection="1">
      <alignment horizontal="left" vertical="center"/>
    </xf>
    <xf numFmtId="0" fontId="81" fillId="0" borderId="45" xfId="0" applyFont="1" applyFill="1" applyBorder="1" applyAlignment="1" applyProtection="1">
      <alignment horizontal="right" vertical="center"/>
    </xf>
    <xf numFmtId="0" fontId="76" fillId="0" borderId="45" xfId="0" applyFont="1" applyFill="1" applyBorder="1" applyAlignment="1" applyProtection="1">
      <alignment vertical="center"/>
    </xf>
    <xf numFmtId="0" fontId="150" fillId="0" borderId="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11" fillId="13" borderId="200" xfId="0" applyFont="1" applyFill="1" applyBorder="1" applyAlignment="1" applyProtection="1">
      <alignment horizontal="right" vertical="center"/>
    </xf>
    <xf numFmtId="0" fontId="198" fillId="0" borderId="201" xfId="0" applyFont="1" applyFill="1" applyBorder="1" applyAlignment="1" applyProtection="1">
      <alignment horizontal="center" vertical="center"/>
    </xf>
    <xf numFmtId="0" fontId="200" fillId="0" borderId="202" xfId="0" applyFont="1" applyFill="1" applyBorder="1" applyAlignment="1" applyProtection="1">
      <alignment horizontal="center" vertical="center"/>
    </xf>
    <xf numFmtId="0" fontId="200" fillId="0" borderId="201" xfId="0" applyFont="1" applyFill="1" applyBorder="1" applyAlignment="1" applyProtection="1">
      <alignment horizontal="center" vertical="center"/>
    </xf>
    <xf numFmtId="0" fontId="200" fillId="0" borderId="203" xfId="0" applyFont="1" applyFill="1" applyBorder="1" applyAlignment="1" applyProtection="1">
      <alignment horizontal="center" vertical="center"/>
    </xf>
    <xf numFmtId="0" fontId="360" fillId="0" borderId="16" xfId="0" applyFont="1" applyFill="1" applyBorder="1" applyAlignment="1" applyProtection="1">
      <alignment vertical="center"/>
    </xf>
    <xf numFmtId="0" fontId="360" fillId="0" borderId="16" xfId="0" applyFont="1" applyFill="1" applyBorder="1" applyAlignment="1" applyProtection="1">
      <alignment horizontal="right"/>
    </xf>
    <xf numFmtId="0" fontId="361" fillId="0" borderId="3" xfId="1" quotePrefix="1" applyFont="1" applyFill="1" applyBorder="1" applyAlignment="1" applyProtection="1">
      <alignment horizontal="left"/>
    </xf>
    <xf numFmtId="0" fontId="362" fillId="0" borderId="18" xfId="0" applyFont="1" applyFill="1" applyBorder="1" applyAlignment="1" applyProtection="1">
      <alignment horizontal="right" vertical="center"/>
    </xf>
    <xf numFmtId="0" fontId="364" fillId="7" borderId="84" xfId="0" applyFont="1" applyFill="1" applyBorder="1" applyAlignment="1" applyProtection="1">
      <alignment horizontal="center" vertical="center"/>
      <protection locked="0"/>
    </xf>
    <xf numFmtId="0" fontId="359" fillId="0" borderId="137" xfId="0" applyFont="1" applyFill="1" applyBorder="1" applyAlignment="1" applyProtection="1">
      <alignment vertical="center"/>
    </xf>
    <xf numFmtId="0" fontId="365" fillId="0" borderId="137" xfId="0" applyFont="1" applyFill="1" applyBorder="1" applyAlignment="1" applyProtection="1">
      <alignment horizontal="right" vertical="center"/>
    </xf>
    <xf numFmtId="0" fontId="357" fillId="0" borderId="137" xfId="0" applyFont="1" applyFill="1" applyBorder="1" applyAlignment="1" applyProtection="1">
      <alignment horizontal="left" vertical="center" indent="1"/>
    </xf>
    <xf numFmtId="0" fontId="366" fillId="0" borderId="133" xfId="0" applyFont="1" applyFill="1" applyBorder="1" applyAlignment="1" applyProtection="1">
      <alignment horizontal="right" vertical="center"/>
    </xf>
    <xf numFmtId="186" fontId="364" fillId="7" borderId="124" xfId="0" applyNumberFormat="1" applyFont="1" applyFill="1" applyBorder="1" applyAlignment="1" applyProtection="1">
      <alignment horizontal="center" vertical="center"/>
      <protection locked="0"/>
    </xf>
    <xf numFmtId="0" fontId="47" fillId="0" borderId="133" xfId="0" applyFont="1" applyFill="1" applyBorder="1" applyAlignment="1" applyProtection="1">
      <alignment horizontal="left" vertical="center" wrapText="1"/>
    </xf>
    <xf numFmtId="0" fontId="354" fillId="26" borderId="18" xfId="0" applyFont="1" applyFill="1" applyBorder="1" applyAlignment="1" applyProtection="1">
      <alignment horizontal="center" vertical="center" wrapText="1"/>
      <protection locked="0"/>
    </xf>
    <xf numFmtId="186" fontId="354" fillId="26" borderId="191"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xf>
    <xf numFmtId="0" fontId="341" fillId="0" borderId="0" xfId="0" applyFont="1" applyFill="1" applyBorder="1" applyAlignment="1" applyProtection="1">
      <alignment horizontal="center" vertical="top"/>
    </xf>
    <xf numFmtId="0" fontId="333" fillId="0" borderId="23" xfId="0" applyFont="1" applyFill="1" applyBorder="1" applyAlignment="1" applyProtection="1">
      <alignment horizontal="center" vertical="center"/>
    </xf>
    <xf numFmtId="0" fontId="339" fillId="0" borderId="7" xfId="0" applyFont="1" applyBorder="1" applyAlignment="1">
      <alignment horizontal="right" vertical="center"/>
    </xf>
    <xf numFmtId="173" fontId="339" fillId="0" borderId="9" xfId="0" applyNumberFormat="1" applyFont="1" applyFill="1" applyBorder="1" applyAlignment="1" applyProtection="1">
      <alignment horizontal="right" vertical="center"/>
    </xf>
    <xf numFmtId="0" fontId="193" fillId="0" borderId="0" xfId="0" applyFont="1" applyFill="1" applyAlignment="1" applyProtection="1">
      <alignment horizontal="left" vertical="top"/>
    </xf>
    <xf numFmtId="0" fontId="339" fillId="0" borderId="8" xfId="0" applyFont="1" applyBorder="1" applyAlignment="1">
      <alignment horizontal="right" vertical="center"/>
    </xf>
    <xf numFmtId="0" fontId="342" fillId="0" borderId="8" xfId="0" applyFont="1" applyFill="1" applyBorder="1" applyAlignment="1" applyProtection="1">
      <alignment horizontal="right" vertical="center"/>
    </xf>
    <xf numFmtId="0" fontId="341" fillId="0" borderId="0" xfId="0" applyFont="1" applyFill="1" applyAlignment="1" applyProtection="1">
      <alignment horizontal="center" vertical="top"/>
    </xf>
    <xf numFmtId="0" fontId="341" fillId="0" borderId="0" xfId="0" applyFont="1" applyFill="1" applyAlignment="1" applyProtection="1">
      <alignment vertical="top"/>
    </xf>
    <xf numFmtId="191" fontId="315" fillId="0" borderId="43" xfId="0" applyNumberFormat="1" applyFont="1" applyFill="1" applyBorder="1" applyAlignment="1" applyProtection="1">
      <alignment vertical="center"/>
    </xf>
    <xf numFmtId="185" fontId="315" fillId="0" borderId="0" xfId="0" applyNumberFormat="1" applyFont="1" applyFill="1" applyAlignment="1" applyProtection="1">
      <alignment vertical="center"/>
    </xf>
    <xf numFmtId="185" fontId="315" fillId="0" borderId="8" xfId="0" applyNumberFormat="1" applyFont="1" applyFill="1" applyBorder="1" applyAlignment="1" applyProtection="1">
      <alignment horizontal="right"/>
    </xf>
    <xf numFmtId="0" fontId="15" fillId="7" borderId="16" xfId="0" applyFont="1" applyFill="1" applyBorder="1" applyAlignment="1" applyProtection="1">
      <alignment horizontal="left"/>
      <protection locked="0"/>
    </xf>
    <xf numFmtId="0" fontId="67" fillId="26" borderId="16" xfId="0" applyFont="1" applyFill="1" applyBorder="1" applyAlignment="1" applyProtection="1">
      <alignment vertical="center"/>
      <protection locked="0"/>
    </xf>
    <xf numFmtId="0" fontId="32" fillId="0" borderId="28" xfId="0" applyFont="1" applyFill="1" applyBorder="1" applyAlignment="1" applyProtection="1">
      <alignment vertical="center"/>
      <protection locked="0"/>
    </xf>
    <xf numFmtId="0" fontId="14" fillId="0" borderId="16" xfId="0" applyFont="1" applyFill="1" applyBorder="1" applyAlignment="1" applyProtection="1">
      <alignment horizontal="right"/>
    </xf>
    <xf numFmtId="0" fontId="197" fillId="0" borderId="16" xfId="0" applyFont="1" applyFill="1" applyBorder="1" applyAlignment="1" applyProtection="1">
      <alignment horizontal="right"/>
    </xf>
    <xf numFmtId="0" fontId="375" fillId="0" borderId="43" xfId="0" applyFont="1" applyBorder="1" applyAlignment="1">
      <alignment vertical="center"/>
    </xf>
    <xf numFmtId="0" fontId="377" fillId="0" borderId="16" xfId="0" applyFont="1" applyFill="1" applyBorder="1" applyAlignment="1" applyProtection="1">
      <alignment vertical="center"/>
    </xf>
    <xf numFmtId="0" fontId="378" fillId="0" borderId="5" xfId="0" applyFont="1" applyBorder="1"/>
    <xf numFmtId="0" fontId="377" fillId="0" borderId="5" xfId="0" applyFont="1" applyFill="1" applyBorder="1" applyAlignment="1" applyProtection="1">
      <alignment vertical="center"/>
    </xf>
    <xf numFmtId="0" fontId="380" fillId="0" borderId="12" xfId="0" applyFont="1" applyBorder="1" applyAlignment="1">
      <alignment horizontal="right" vertical="center"/>
    </xf>
    <xf numFmtId="2" fontId="375" fillId="0" borderId="43" xfId="0" applyNumberFormat="1" applyFont="1" applyBorder="1" applyAlignment="1">
      <alignment vertical="center"/>
    </xf>
    <xf numFmtId="0" fontId="375" fillId="0" borderId="44" xfId="0" applyFont="1" applyBorder="1" applyAlignment="1">
      <alignment vertical="center"/>
    </xf>
    <xf numFmtId="0" fontId="377" fillId="0" borderId="24" xfId="0" applyFont="1" applyFill="1" applyBorder="1" applyAlignment="1" applyProtection="1">
      <alignment vertical="center"/>
    </xf>
    <xf numFmtId="0" fontId="378" fillId="0" borderId="8" xfId="0" applyFont="1" applyBorder="1"/>
    <xf numFmtId="0" fontId="377" fillId="0" borderId="8" xfId="0" applyFont="1" applyFill="1" applyBorder="1" applyAlignment="1" applyProtection="1">
      <alignment vertical="center"/>
    </xf>
    <xf numFmtId="2" fontId="384" fillId="0" borderId="11" xfId="0" applyNumberFormat="1" applyFont="1" applyBorder="1" applyAlignment="1">
      <alignment horizontal="right" vertical="center"/>
    </xf>
    <xf numFmtId="0" fontId="67" fillId="26" borderId="13" xfId="0" applyFont="1" applyFill="1" applyBorder="1" applyAlignment="1" applyProtection="1">
      <alignment vertical="center"/>
      <protection locked="0"/>
    </xf>
    <xf numFmtId="0" fontId="14" fillId="26" borderId="0" xfId="0" applyFont="1" applyFill="1" applyBorder="1" applyAlignment="1" applyProtection="1">
      <alignment horizontal="right"/>
      <protection locked="0"/>
    </xf>
    <xf numFmtId="0" fontId="15" fillId="0" borderId="51" xfId="0" applyFont="1" applyFill="1" applyBorder="1" applyAlignment="1" applyProtection="1">
      <alignment horizontal="right" vertical="center"/>
      <protection locked="0"/>
    </xf>
    <xf numFmtId="0" fontId="32" fillId="0" borderId="44" xfId="0" applyFont="1" applyFill="1" applyBorder="1" applyAlignment="1" applyProtection="1">
      <alignment vertical="center"/>
      <protection locked="0"/>
    </xf>
    <xf numFmtId="0" fontId="32" fillId="0" borderId="22" xfId="0" applyFont="1" applyFill="1" applyBorder="1" applyAlignment="1" applyProtection="1">
      <alignment vertical="center"/>
      <protection locked="0"/>
    </xf>
    <xf numFmtId="0" fontId="69" fillId="13" borderId="0" xfId="0" applyFont="1" applyFill="1" applyAlignment="1" applyProtection="1">
      <alignment horizontal="left"/>
    </xf>
    <xf numFmtId="0" fontId="67" fillId="13" borderId="0" xfId="0" applyFont="1" applyFill="1" applyBorder="1" applyAlignment="1" applyProtection="1">
      <alignment vertical="center"/>
    </xf>
    <xf numFmtId="0" fontId="69" fillId="13" borderId="0" xfId="0" applyFont="1" applyFill="1" applyAlignment="1" applyProtection="1">
      <alignment horizontal="left" vertical="top"/>
    </xf>
    <xf numFmtId="0" fontId="32" fillId="0" borderId="51" xfId="0" applyFont="1" applyFill="1" applyBorder="1" applyAlignment="1" applyProtection="1">
      <alignment vertical="center"/>
      <protection locked="0"/>
    </xf>
    <xf numFmtId="0" fontId="352" fillId="13" borderId="0" xfId="0" applyFont="1" applyFill="1" applyAlignment="1" applyProtection="1">
      <alignment vertical="center"/>
    </xf>
    <xf numFmtId="0" fontId="370" fillId="13" borderId="0" xfId="0" applyFont="1" applyFill="1" applyAlignment="1" applyProtection="1">
      <alignment vertical="center"/>
    </xf>
    <xf numFmtId="0" fontId="308" fillId="7" borderId="0" xfId="0" applyFont="1" applyFill="1" applyAlignment="1" applyProtection="1">
      <alignment horizontal="left"/>
    </xf>
    <xf numFmtId="0" fontId="1" fillId="0" borderId="0" xfId="0" applyFont="1" applyAlignment="1">
      <alignment vertical="center"/>
    </xf>
    <xf numFmtId="0" fontId="1" fillId="0" borderId="0" xfId="0" applyFont="1" applyBorder="1" applyAlignment="1">
      <alignment vertical="center"/>
    </xf>
    <xf numFmtId="0" fontId="300" fillId="0" borderId="0" xfId="0" applyFont="1" applyAlignment="1">
      <alignment wrapText="1"/>
    </xf>
    <xf numFmtId="0" fontId="300" fillId="0" borderId="0" xfId="0" applyFont="1" applyAlignment="1"/>
    <xf numFmtId="0" fontId="300" fillId="0" borderId="0" xfId="0" applyFont="1" applyAlignment="1">
      <alignment vertical="top"/>
    </xf>
    <xf numFmtId="0" fontId="22" fillId="0" borderId="18" xfId="0" applyFont="1" applyFill="1" applyBorder="1" applyAlignment="1" applyProtection="1">
      <alignment horizontal="right" vertical="center"/>
    </xf>
    <xf numFmtId="0" fontId="24" fillId="0" borderId="22" xfId="0" applyFont="1" applyFill="1" applyBorder="1" applyAlignment="1" applyProtection="1">
      <alignment horizontal="right" vertical="center"/>
    </xf>
    <xf numFmtId="0" fontId="399" fillId="0" borderId="16" xfId="0" applyFont="1" applyFill="1" applyBorder="1" applyAlignment="1" applyProtection="1">
      <alignment vertical="center"/>
    </xf>
    <xf numFmtId="0" fontId="399" fillId="0" borderId="16" xfId="0" applyFont="1" applyFill="1" applyBorder="1" applyAlignment="1" applyProtection="1">
      <alignment horizontal="right"/>
    </xf>
    <xf numFmtId="0" fontId="400" fillId="0" borderId="3" xfId="1" quotePrefix="1" applyFont="1" applyFill="1" applyBorder="1" applyAlignment="1" applyProtection="1">
      <alignment horizontal="left"/>
    </xf>
    <xf numFmtId="0" fontId="396" fillId="0" borderId="24" xfId="0" applyFont="1" applyFill="1" applyBorder="1" applyAlignment="1" applyProtection="1">
      <alignment vertical="center"/>
    </xf>
    <xf numFmtId="0" fontId="397" fillId="0" borderId="24" xfId="0" applyFont="1" applyFill="1" applyBorder="1" applyAlignment="1" applyProtection="1">
      <alignment horizontal="center" vertical="center"/>
    </xf>
    <xf numFmtId="0" fontId="398" fillId="0" borderId="24" xfId="0" applyFont="1" applyFill="1" applyBorder="1" applyAlignment="1" applyProtection="1">
      <alignment vertical="center"/>
    </xf>
    <xf numFmtId="0" fontId="355" fillId="0" borderId="24" xfId="0" applyFont="1" applyFill="1" applyBorder="1" applyAlignment="1" applyProtection="1">
      <alignment horizontal="right" vertical="center"/>
    </xf>
    <xf numFmtId="0" fontId="396" fillId="0" borderId="24" xfId="0" applyFont="1" applyFill="1" applyBorder="1" applyAlignment="1" applyProtection="1">
      <alignment horizontal="left" vertical="center" indent="1"/>
    </xf>
    <xf numFmtId="0" fontId="398" fillId="0" borderId="0" xfId="0" applyFont="1" applyFill="1" applyBorder="1" applyAlignment="1" applyProtection="1">
      <alignment vertical="center"/>
    </xf>
    <xf numFmtId="0" fontId="1" fillId="0" borderId="0" xfId="0" applyFont="1" applyAlignment="1">
      <alignment horizontal="left"/>
    </xf>
    <xf numFmtId="0" fontId="1" fillId="0" borderId="0" xfId="0" applyFont="1" applyAlignment="1">
      <alignment horizontal="left" vertical="top"/>
    </xf>
    <xf numFmtId="0" fontId="9" fillId="0" borderId="172" xfId="0" applyFont="1" applyBorder="1" applyAlignment="1">
      <alignment horizontal="right"/>
    </xf>
    <xf numFmtId="0" fontId="47" fillId="0" borderId="18" xfId="0" applyFont="1" applyBorder="1" applyAlignment="1">
      <alignment horizontal="center" vertical="center"/>
    </xf>
    <xf numFmtId="0" fontId="47" fillId="0" borderId="13" xfId="0" applyFont="1" applyBorder="1" applyAlignment="1">
      <alignment horizontal="center" vertical="center"/>
    </xf>
    <xf numFmtId="2" fontId="47" fillId="0" borderId="23" xfId="0" applyNumberFormat="1" applyFont="1" applyBorder="1" applyAlignment="1">
      <alignment horizontal="center" vertical="center"/>
    </xf>
    <xf numFmtId="0" fontId="379" fillId="0" borderId="13" xfId="0" applyFont="1" applyBorder="1" applyAlignment="1">
      <alignment horizontal="center" vertical="center"/>
    </xf>
    <xf numFmtId="2" fontId="379" fillId="0" borderId="23" xfId="0" applyNumberFormat="1" applyFont="1" applyBorder="1" applyAlignment="1">
      <alignment horizontal="center" vertical="center"/>
    </xf>
    <xf numFmtId="0" fontId="67" fillId="0" borderId="46" xfId="0" applyFont="1" applyFill="1" applyBorder="1" applyAlignment="1" applyProtection="1">
      <alignment vertical="center"/>
    </xf>
    <xf numFmtId="173" fontId="190" fillId="0" borderId="17" xfId="0" applyNumberFormat="1" applyFont="1" applyFill="1" applyBorder="1" applyAlignment="1" applyProtection="1">
      <alignment horizontal="left" vertical="center"/>
    </xf>
    <xf numFmtId="0" fontId="404" fillId="0" borderId="45" xfId="0" applyFont="1" applyFill="1" applyBorder="1" applyAlignment="1" applyProtection="1"/>
    <xf numFmtId="0" fontId="404" fillId="0" borderId="136" xfId="0" applyFont="1" applyFill="1" applyBorder="1" applyAlignment="1" applyProtection="1">
      <alignment horizontal="left" vertical="center"/>
    </xf>
    <xf numFmtId="0" fontId="135" fillId="0" borderId="0" xfId="0" applyFont="1" applyAlignment="1" applyProtection="1">
      <alignment vertical="center"/>
    </xf>
    <xf numFmtId="0" fontId="405" fillId="11" borderId="104" xfId="0" applyFont="1" applyFill="1" applyBorder="1" applyAlignment="1" applyProtection="1">
      <alignment vertical="center"/>
    </xf>
    <xf numFmtId="0" fontId="164" fillId="11" borderId="103" xfId="0" applyFont="1" applyFill="1" applyBorder="1" applyAlignment="1" applyProtection="1">
      <alignment horizontal="right" vertical="center"/>
    </xf>
    <xf numFmtId="0" fontId="1" fillId="0" borderId="0" xfId="0" applyFont="1" applyFill="1"/>
    <xf numFmtId="0" fontId="219" fillId="0" borderId="15" xfId="0" applyFont="1" applyFill="1" applyBorder="1" applyAlignment="1" applyProtection="1">
      <alignment horizontal="right" vertical="center"/>
    </xf>
    <xf numFmtId="0" fontId="219" fillId="0" borderId="29" xfId="0" applyFont="1" applyFill="1" applyBorder="1" applyAlignment="1" applyProtection="1">
      <alignment horizontal="right" vertical="center"/>
    </xf>
    <xf numFmtId="0" fontId="341" fillId="0" borderId="45" xfId="0" applyFont="1" applyFill="1" applyBorder="1" applyAlignment="1" applyProtection="1">
      <alignment horizontal="center" vertical="top"/>
    </xf>
    <xf numFmtId="0" fontId="333" fillId="0" borderId="8" xfId="0" applyFont="1" applyFill="1" applyBorder="1" applyAlignment="1" applyProtection="1">
      <alignment horizontal="center" vertical="center"/>
    </xf>
    <xf numFmtId="0" fontId="333" fillId="0" borderId="23" xfId="0" applyFont="1" applyFill="1" applyBorder="1" applyAlignment="1" applyProtection="1">
      <alignment horizontal="center" vertical="center"/>
    </xf>
    <xf numFmtId="0" fontId="192" fillId="15" borderId="131" xfId="0" applyFont="1" applyFill="1" applyBorder="1" applyAlignment="1" applyProtection="1">
      <alignment horizontal="center" vertical="center" wrapText="1"/>
    </xf>
    <xf numFmtId="0" fontId="192" fillId="15" borderId="45" xfId="0" applyFont="1" applyFill="1" applyBorder="1" applyAlignment="1" applyProtection="1">
      <alignment horizontal="center" vertical="center" wrapText="1"/>
    </xf>
    <xf numFmtId="0" fontId="192" fillId="15" borderId="51" xfId="0" applyFont="1" applyFill="1" applyBorder="1" applyAlignment="1" applyProtection="1">
      <alignment horizontal="center" vertical="center" wrapText="1"/>
    </xf>
    <xf numFmtId="0" fontId="192" fillId="15" borderId="0" xfId="0" applyFont="1" applyFill="1" applyBorder="1" applyAlignment="1" applyProtection="1">
      <alignment horizontal="center" vertical="center" wrapText="1"/>
    </xf>
    <xf numFmtId="0" fontId="192" fillId="15" borderId="44" xfId="0" applyFont="1" applyFill="1" applyBorder="1" applyAlignment="1" applyProtection="1">
      <alignment horizontal="center" vertical="center" wrapText="1"/>
    </xf>
    <xf numFmtId="0" fontId="192" fillId="15" borderId="24" xfId="0" applyFont="1" applyFill="1" applyBorder="1" applyAlignment="1" applyProtection="1">
      <alignment horizontal="center" vertical="center" wrapText="1"/>
    </xf>
    <xf numFmtId="0" fontId="387" fillId="13" borderId="51" xfId="0" applyFont="1" applyFill="1" applyBorder="1" applyAlignment="1" applyProtection="1">
      <alignment horizontal="center" vertical="center" wrapText="1"/>
    </xf>
    <xf numFmtId="0" fontId="374" fillId="13" borderId="28" xfId="0" applyFont="1" applyFill="1" applyBorder="1" applyAlignment="1" applyProtection="1">
      <alignment horizontal="center" vertical="center" wrapText="1"/>
    </xf>
    <xf numFmtId="0" fontId="374" fillId="13" borderId="51" xfId="0" applyFont="1" applyFill="1" applyBorder="1" applyAlignment="1" applyProtection="1">
      <alignment horizontal="center" vertical="center" wrapText="1"/>
    </xf>
    <xf numFmtId="0" fontId="374" fillId="13" borderId="43" xfId="0" applyFont="1" applyFill="1" applyBorder="1" applyAlignment="1" applyProtection="1">
      <alignment horizontal="center" vertical="center" wrapText="1"/>
    </xf>
    <xf numFmtId="0" fontId="374" fillId="13" borderId="18" xfId="0" applyFont="1" applyFill="1" applyBorder="1" applyAlignment="1" applyProtection="1">
      <alignment horizontal="center" vertical="center" wrapText="1"/>
    </xf>
    <xf numFmtId="0" fontId="353" fillId="22" borderId="146" xfId="0" applyFont="1" applyFill="1" applyBorder="1" applyAlignment="1" applyProtection="1">
      <alignment horizontal="center" vertical="center"/>
    </xf>
    <xf numFmtId="0" fontId="353" fillId="22" borderId="106" xfId="0" applyFont="1" applyFill="1" applyBorder="1" applyAlignment="1" applyProtection="1">
      <alignment horizontal="center" vertical="center"/>
    </xf>
    <xf numFmtId="0" fontId="76" fillId="22" borderId="106" xfId="0" applyFont="1" applyFill="1" applyBorder="1" applyAlignment="1" applyProtection="1">
      <alignment horizontal="center" vertical="center" wrapText="1"/>
    </xf>
    <xf numFmtId="0" fontId="76" fillId="22" borderId="85" xfId="0" applyFont="1" applyFill="1" applyBorder="1" applyAlignment="1" applyProtection="1">
      <alignment horizontal="center" vertical="center" wrapText="1"/>
    </xf>
    <xf numFmtId="0" fontId="222" fillId="0" borderId="131" xfId="0" applyFont="1" applyFill="1" applyBorder="1" applyAlignment="1" applyProtection="1">
      <alignment horizontal="center" vertical="center" wrapText="1"/>
    </xf>
    <xf numFmtId="0" fontId="222" fillId="0" borderId="140" xfId="0" applyFont="1" applyFill="1" applyBorder="1" applyAlignment="1" applyProtection="1">
      <alignment horizontal="center" vertical="center" wrapText="1"/>
    </xf>
    <xf numFmtId="0" fontId="222" fillId="0" borderId="44" xfId="0" applyFont="1" applyFill="1" applyBorder="1" applyAlignment="1" applyProtection="1">
      <alignment horizontal="center" vertical="center" wrapText="1"/>
    </xf>
    <xf numFmtId="0" fontId="222" fillId="0" borderId="25" xfId="0" applyFont="1" applyFill="1" applyBorder="1" applyAlignment="1" applyProtection="1">
      <alignment horizontal="center" vertical="center" wrapText="1"/>
    </xf>
    <xf numFmtId="0" fontId="222" fillId="0" borderId="131" xfId="0" applyFont="1" applyFill="1" applyBorder="1" applyAlignment="1" applyProtection="1">
      <alignment horizontal="center" vertical="center"/>
    </xf>
    <xf numFmtId="0" fontId="222" fillId="0" borderId="140" xfId="0" applyFont="1" applyFill="1" applyBorder="1" applyAlignment="1" applyProtection="1">
      <alignment horizontal="center" vertical="center"/>
    </xf>
    <xf numFmtId="0" fontId="222" fillId="0" borderId="44" xfId="0" applyFont="1" applyFill="1" applyBorder="1" applyAlignment="1" applyProtection="1">
      <alignment horizontal="center" vertical="center"/>
    </xf>
    <xf numFmtId="0" fontId="222" fillId="0" borderId="25" xfId="0" applyFont="1" applyFill="1" applyBorder="1" applyAlignment="1" applyProtection="1">
      <alignment horizontal="center" vertical="center"/>
    </xf>
    <xf numFmtId="0" fontId="223" fillId="0" borderId="21" xfId="0" applyFont="1" applyFill="1" applyBorder="1" applyAlignment="1" applyProtection="1">
      <alignment horizontal="left" vertical="center"/>
    </xf>
    <xf numFmtId="0" fontId="223" fillId="0" borderId="4" xfId="0" applyFont="1" applyFill="1" applyBorder="1" applyAlignment="1" applyProtection="1">
      <alignment horizontal="left" vertical="center"/>
    </xf>
    <xf numFmtId="0" fontId="218" fillId="5" borderId="41" xfId="0" applyFont="1" applyFill="1" applyBorder="1" applyAlignment="1" applyProtection="1">
      <alignment horizontal="center" vertical="center"/>
    </xf>
    <xf numFmtId="0" fontId="218" fillId="5" borderId="17" xfId="0" applyFont="1" applyFill="1" applyBorder="1" applyAlignment="1" applyProtection="1">
      <alignment horizontal="center" vertical="center"/>
    </xf>
    <xf numFmtId="0" fontId="218" fillId="5" borderId="29" xfId="0" applyFont="1" applyFill="1" applyBorder="1" applyAlignment="1" applyProtection="1">
      <alignment horizontal="center" vertical="center"/>
    </xf>
    <xf numFmtId="0" fontId="222" fillId="0" borderId="146" xfId="0" applyFont="1" applyFill="1" applyBorder="1" applyAlignment="1" applyProtection="1">
      <alignment horizontal="center" vertical="center" textRotation="90" wrapText="1"/>
    </xf>
    <xf numFmtId="0" fontId="222" fillId="0" borderId="106" xfId="0" applyFont="1" applyFill="1" applyBorder="1" applyAlignment="1" applyProtection="1">
      <alignment horizontal="center" vertical="center" textRotation="90" wrapText="1"/>
    </xf>
    <xf numFmtId="0" fontId="222" fillId="0" borderId="85" xfId="0" applyFont="1" applyFill="1" applyBorder="1" applyAlignment="1" applyProtection="1">
      <alignment horizontal="center" vertical="center" textRotation="90" wrapText="1"/>
    </xf>
    <xf numFmtId="185" fontId="154" fillId="0" borderId="9" xfId="0" applyNumberFormat="1" applyFont="1" applyFill="1" applyBorder="1" applyAlignment="1" applyProtection="1">
      <alignment horizontal="center" vertical="center"/>
    </xf>
    <xf numFmtId="185" fontId="154" fillId="0" borderId="23" xfId="0" applyNumberFormat="1" applyFont="1" applyFill="1" applyBorder="1" applyAlignment="1" applyProtection="1">
      <alignment horizontal="center" vertical="center"/>
    </xf>
    <xf numFmtId="191" fontId="372" fillId="0" borderId="21" xfId="0" applyNumberFormat="1" applyFont="1" applyFill="1" applyBorder="1" applyAlignment="1" applyProtection="1">
      <alignment horizontal="center"/>
    </xf>
    <xf numFmtId="191" fontId="372" fillId="0" borderId="4" xfId="0" applyNumberFormat="1" applyFont="1" applyFill="1" applyBorder="1" applyAlignment="1" applyProtection="1">
      <alignment horizontal="center"/>
    </xf>
    <xf numFmtId="185" fontId="372" fillId="0" borderId="10" xfId="0" applyNumberFormat="1" applyFont="1" applyFill="1" applyBorder="1" applyAlignment="1" applyProtection="1">
      <alignment horizontal="center"/>
    </xf>
    <xf numFmtId="185" fontId="372" fillId="0" borderId="13" xfId="0" applyNumberFormat="1" applyFont="1" applyFill="1" applyBorder="1" applyAlignment="1" applyProtection="1">
      <alignment horizontal="center"/>
    </xf>
    <xf numFmtId="185" fontId="372" fillId="0" borderId="9" xfId="0" applyNumberFormat="1" applyFont="1" applyFill="1" applyBorder="1" applyAlignment="1" applyProtection="1">
      <alignment horizontal="center" vertical="center"/>
    </xf>
    <xf numFmtId="185" fontId="372" fillId="0" borderId="23" xfId="0" applyNumberFormat="1" applyFont="1" applyFill="1" applyBorder="1" applyAlignment="1" applyProtection="1">
      <alignment horizontal="center" vertical="center"/>
    </xf>
    <xf numFmtId="0" fontId="219" fillId="5" borderId="87" xfId="0" applyFont="1" applyFill="1" applyBorder="1" applyAlignment="1" applyProtection="1">
      <alignment horizontal="center" wrapText="1"/>
    </xf>
    <xf numFmtId="0" fontId="219" fillId="5" borderId="55" xfId="0" applyFont="1" applyFill="1" applyBorder="1" applyAlignment="1" applyProtection="1">
      <alignment horizontal="center" wrapText="1"/>
    </xf>
    <xf numFmtId="0" fontId="222" fillId="0" borderId="45" xfId="0" applyFont="1" applyFill="1" applyBorder="1" applyAlignment="1" applyProtection="1">
      <alignment horizontal="center" vertical="center" wrapText="1"/>
    </xf>
    <xf numFmtId="0" fontId="222" fillId="0" borderId="51" xfId="0" applyFont="1" applyFill="1" applyBorder="1" applyAlignment="1" applyProtection="1">
      <alignment horizontal="center" vertical="center" wrapText="1"/>
    </xf>
    <xf numFmtId="0" fontId="222" fillId="0" borderId="0" xfId="0" applyFont="1" applyFill="1" applyBorder="1" applyAlignment="1" applyProtection="1">
      <alignment horizontal="center" vertical="center" wrapText="1"/>
    </xf>
    <xf numFmtId="0" fontId="222" fillId="0" borderId="24" xfId="0" applyFont="1" applyFill="1" applyBorder="1" applyAlignment="1" applyProtection="1">
      <alignment horizontal="center" vertical="center" wrapText="1"/>
    </xf>
    <xf numFmtId="0" fontId="219" fillId="5" borderId="93" xfId="0" applyFont="1" applyFill="1" applyBorder="1" applyAlignment="1" applyProtection="1">
      <alignment horizontal="center" wrapText="1"/>
    </xf>
    <xf numFmtId="0" fontId="219" fillId="5" borderId="22" xfId="0" applyFont="1" applyFill="1" applyBorder="1" applyAlignment="1" applyProtection="1">
      <alignment horizontal="center" wrapText="1"/>
    </xf>
    <xf numFmtId="0" fontId="216" fillId="0" borderId="24" xfId="0" applyFont="1" applyFill="1" applyBorder="1" applyAlignment="1" applyProtection="1">
      <alignment horizontal="center"/>
    </xf>
    <xf numFmtId="0" fontId="218" fillId="0" borderId="51" xfId="0" applyFont="1" applyFill="1" applyBorder="1" applyAlignment="1" applyProtection="1">
      <alignment horizontal="center" vertical="center"/>
    </xf>
    <xf numFmtId="0" fontId="218" fillId="0" borderId="0" xfId="0" applyFont="1" applyFill="1" applyBorder="1" applyAlignment="1" applyProtection="1">
      <alignment horizontal="center" vertical="center"/>
    </xf>
    <xf numFmtId="0" fontId="218" fillId="0" borderId="44" xfId="0" applyFont="1" applyFill="1" applyBorder="1" applyAlignment="1" applyProtection="1">
      <alignment horizontal="center" vertical="center"/>
    </xf>
    <xf numFmtId="0" fontId="218" fillId="0" borderId="24" xfId="0" applyFont="1" applyFill="1" applyBorder="1" applyAlignment="1" applyProtection="1">
      <alignment horizontal="center" vertical="center"/>
    </xf>
    <xf numFmtId="0" fontId="150" fillId="0" borderId="51" xfId="0" applyNumberFormat="1" applyFont="1" applyFill="1" applyBorder="1" applyAlignment="1" applyProtection="1">
      <alignment horizontal="right" vertical="center" wrapText="1"/>
    </xf>
    <xf numFmtId="0" fontId="150" fillId="0" borderId="0" xfId="0" applyNumberFormat="1" applyFont="1" applyFill="1" applyBorder="1" applyAlignment="1" applyProtection="1">
      <alignment horizontal="right" vertical="center" wrapText="1"/>
    </xf>
    <xf numFmtId="0" fontId="150" fillId="0" borderId="28" xfId="0" applyNumberFormat="1" applyFont="1" applyFill="1" applyBorder="1" applyAlignment="1" applyProtection="1">
      <alignment horizontal="right" vertical="center" wrapText="1"/>
    </xf>
    <xf numFmtId="0" fontId="150" fillId="0" borderId="161" xfId="0" applyNumberFormat="1" applyFont="1" applyFill="1" applyBorder="1" applyAlignment="1" applyProtection="1">
      <alignment horizontal="right" vertical="center" wrapText="1"/>
    </xf>
    <xf numFmtId="0" fontId="150" fillId="0" borderId="137" xfId="0" applyNumberFormat="1" applyFont="1" applyFill="1" applyBorder="1" applyAlignment="1" applyProtection="1">
      <alignment horizontal="right" vertical="center" wrapText="1"/>
    </xf>
    <xf numFmtId="0" fontId="150" fillId="0" borderId="133" xfId="0" applyNumberFormat="1" applyFont="1" applyFill="1" applyBorder="1" applyAlignment="1" applyProtection="1">
      <alignment horizontal="right" vertical="center" wrapText="1"/>
    </xf>
    <xf numFmtId="0" fontId="105" fillId="0" borderId="114" xfId="0" applyFont="1" applyFill="1" applyBorder="1" applyAlignment="1" applyProtection="1">
      <alignment horizontal="right" vertical="center" wrapText="1"/>
    </xf>
    <xf numFmtId="0" fontId="149" fillId="0" borderId="114" xfId="0" applyFont="1" applyFill="1" applyBorder="1" applyAlignment="1" applyProtection="1">
      <alignment horizontal="right" vertical="center" wrapText="1"/>
    </xf>
    <xf numFmtId="0" fontId="149" fillId="0" borderId="16" xfId="0" applyFont="1" applyFill="1" applyBorder="1" applyAlignment="1" applyProtection="1">
      <alignment horizontal="right" vertical="center" wrapText="1"/>
    </xf>
    <xf numFmtId="0" fontId="161" fillId="25" borderId="42" xfId="0" applyFont="1" applyFill="1" applyBorder="1" applyAlignment="1" applyProtection="1">
      <alignment horizontal="center" vertical="center"/>
    </xf>
    <xf numFmtId="0" fontId="161" fillId="25" borderId="8" xfId="0" applyFont="1" applyFill="1" applyBorder="1" applyAlignment="1" applyProtection="1">
      <alignment horizontal="center" vertical="center"/>
    </xf>
    <xf numFmtId="0" fontId="161" fillId="25" borderId="23" xfId="0" applyFont="1" applyFill="1" applyBorder="1" applyAlignment="1" applyProtection="1">
      <alignment horizontal="center" vertical="center"/>
    </xf>
    <xf numFmtId="0" fontId="2" fillId="2" borderId="5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43"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106" fillId="12" borderId="40" xfId="0" applyFont="1" applyFill="1" applyBorder="1" applyAlignment="1" applyProtection="1">
      <alignment horizontal="right" vertical="center"/>
    </xf>
    <xf numFmtId="0" fontId="106" fillId="12" borderId="3" xfId="0" applyFont="1" applyFill="1" applyBorder="1" applyAlignment="1" applyProtection="1">
      <alignment horizontal="right" vertical="center"/>
    </xf>
    <xf numFmtId="0" fontId="106" fillId="12" borderId="4" xfId="0" applyFont="1" applyFill="1" applyBorder="1" applyAlignment="1" applyProtection="1">
      <alignment horizontal="right" vertical="center"/>
    </xf>
    <xf numFmtId="0" fontId="240" fillId="0" borderId="131" xfId="0" applyFont="1" applyFill="1" applyBorder="1" applyAlignment="1" applyProtection="1">
      <alignment horizontal="right" vertical="center" wrapText="1"/>
    </xf>
    <xf numFmtId="0" fontId="240" fillId="0" borderId="45" xfId="0" applyFont="1" applyFill="1" applyBorder="1" applyAlignment="1" applyProtection="1">
      <alignment horizontal="right" vertical="center" wrapText="1"/>
    </xf>
    <xf numFmtId="0" fontId="240" fillId="0" borderId="140" xfId="0" applyFont="1" applyFill="1" applyBorder="1" applyAlignment="1" applyProtection="1">
      <alignment horizontal="right" vertical="center" wrapText="1"/>
    </xf>
    <xf numFmtId="0" fontId="240" fillId="0" borderId="51" xfId="0" applyFont="1" applyFill="1" applyBorder="1" applyAlignment="1" applyProtection="1">
      <alignment horizontal="right" vertical="center" wrapText="1"/>
    </xf>
    <xf numFmtId="0" fontId="240" fillId="0" borderId="0" xfId="0" applyFont="1" applyFill="1" applyBorder="1" applyAlignment="1" applyProtection="1">
      <alignment horizontal="right" vertical="center" wrapText="1"/>
    </xf>
    <xf numFmtId="0" fontId="240" fillId="0" borderId="46" xfId="0" applyFont="1" applyFill="1" applyBorder="1" applyAlignment="1" applyProtection="1">
      <alignment horizontal="right" vertical="center" wrapText="1"/>
    </xf>
    <xf numFmtId="0" fontId="240" fillId="0" borderId="44" xfId="0" applyFont="1" applyFill="1" applyBorder="1" applyAlignment="1" applyProtection="1">
      <alignment horizontal="right" vertical="center" wrapText="1"/>
    </xf>
    <xf numFmtId="0" fontId="240" fillId="0" borderId="24" xfId="0" applyFont="1" applyFill="1" applyBorder="1" applyAlignment="1" applyProtection="1">
      <alignment horizontal="right" vertical="center" wrapText="1"/>
    </xf>
    <xf numFmtId="0" fontId="240" fillId="0" borderId="25" xfId="0" applyFont="1" applyFill="1" applyBorder="1" applyAlignment="1" applyProtection="1">
      <alignment horizontal="right" vertical="center" wrapText="1"/>
    </xf>
    <xf numFmtId="0" fontId="222" fillId="0" borderId="46" xfId="0" applyFont="1" applyFill="1" applyBorder="1" applyAlignment="1" applyProtection="1">
      <alignment horizontal="center" vertical="center" wrapText="1"/>
    </xf>
    <xf numFmtId="0" fontId="222" fillId="0" borderId="41" xfId="0" applyFont="1" applyFill="1" applyBorder="1" applyAlignment="1" applyProtection="1">
      <alignment horizontal="center" vertical="center" wrapText="1"/>
    </xf>
    <xf numFmtId="0" fontId="222" fillId="0" borderId="17" xfId="0" applyFont="1" applyFill="1" applyBorder="1" applyAlignment="1" applyProtection="1">
      <alignment horizontal="center" vertical="center" wrapText="1"/>
    </xf>
    <xf numFmtId="0" fontId="222" fillId="0" borderId="29" xfId="0" applyFont="1" applyFill="1" applyBorder="1" applyAlignment="1" applyProtection="1">
      <alignment horizontal="center" vertical="center" wrapText="1"/>
    </xf>
    <xf numFmtId="0" fontId="106" fillId="16" borderId="54" xfId="0" applyFont="1" applyFill="1" applyBorder="1" applyAlignment="1" applyProtection="1">
      <alignment horizontal="right" vertical="center"/>
    </xf>
    <xf numFmtId="0" fontId="106" fillId="16" borderId="5" xfId="0" applyFont="1" applyFill="1" applyBorder="1" applyAlignment="1" applyProtection="1">
      <alignment horizontal="right" vertical="center"/>
    </xf>
    <xf numFmtId="0" fontId="106" fillId="16" borderId="13" xfId="0" applyFont="1" applyFill="1" applyBorder="1" applyAlignment="1" applyProtection="1">
      <alignment horizontal="right" vertical="center"/>
    </xf>
    <xf numFmtId="0" fontId="67" fillId="11" borderId="44" xfId="0" applyFont="1" applyFill="1" applyBorder="1" applyAlignment="1" applyProtection="1">
      <alignment vertical="center"/>
    </xf>
    <xf numFmtId="0" fontId="67" fillId="11" borderId="24" xfId="0" applyFont="1" applyFill="1" applyBorder="1" applyAlignment="1" applyProtection="1">
      <alignment vertical="center"/>
    </xf>
    <xf numFmtId="0" fontId="67" fillId="11" borderId="22" xfId="0" applyFont="1" applyFill="1" applyBorder="1" applyAlignment="1" applyProtection="1">
      <alignment vertical="center"/>
    </xf>
    <xf numFmtId="0" fontId="106" fillId="0" borderId="171" xfId="0" applyFont="1" applyFill="1" applyBorder="1" applyAlignment="1" applyProtection="1">
      <alignment horizontal="left" vertical="center" textRotation="90" wrapText="1"/>
    </xf>
    <xf numFmtId="0" fontId="106" fillId="0" borderId="102" xfId="0" applyFont="1" applyFill="1" applyBorder="1" applyAlignment="1" applyProtection="1">
      <alignment horizontal="left" vertical="center" textRotation="90" wrapText="1"/>
    </xf>
    <xf numFmtId="0" fontId="106" fillId="0" borderId="51" xfId="0" applyFont="1" applyFill="1" applyBorder="1" applyAlignment="1" applyProtection="1">
      <alignment horizontal="left" vertical="center" textRotation="90" wrapText="1"/>
    </xf>
    <xf numFmtId="0" fontId="106" fillId="0" borderId="0" xfId="0" applyFont="1" applyFill="1" applyBorder="1" applyAlignment="1" applyProtection="1">
      <alignment horizontal="left" vertical="center" textRotation="90" wrapText="1"/>
    </xf>
    <xf numFmtId="0" fontId="106" fillId="0" borderId="44" xfId="0" applyFont="1" applyFill="1" applyBorder="1" applyAlignment="1" applyProtection="1">
      <alignment horizontal="left" vertical="center" textRotation="90" wrapText="1"/>
    </xf>
    <xf numFmtId="0" fontId="106" fillId="0" borderId="24" xfId="0" applyFont="1" applyFill="1" applyBorder="1" applyAlignment="1" applyProtection="1">
      <alignment horizontal="left" vertical="center" textRotation="90" wrapText="1"/>
    </xf>
    <xf numFmtId="0" fontId="222" fillId="0" borderId="135" xfId="0" applyFont="1" applyFill="1" applyBorder="1" applyAlignment="1" applyProtection="1">
      <alignment horizontal="right" vertical="center"/>
    </xf>
    <xf numFmtId="0" fontId="222" fillId="0" borderId="2" xfId="0" applyFont="1" applyFill="1" applyBorder="1" applyAlignment="1" applyProtection="1">
      <alignment horizontal="right" vertical="center"/>
    </xf>
    <xf numFmtId="0" fontId="222" fillId="0" borderId="47" xfId="0" applyFont="1" applyFill="1" applyBorder="1" applyAlignment="1" applyProtection="1">
      <alignment horizontal="right" vertical="center"/>
    </xf>
    <xf numFmtId="175" fontId="225" fillId="0" borderId="9" xfId="0" applyNumberFormat="1" applyFont="1" applyFill="1" applyBorder="1" applyAlignment="1" applyProtection="1">
      <alignment horizontal="center" vertical="center"/>
    </xf>
    <xf numFmtId="175" fontId="225" fillId="0" borderId="11" xfId="0" applyNumberFormat="1" applyFont="1" applyFill="1" applyBorder="1" applyAlignment="1" applyProtection="1">
      <alignment horizontal="center" vertical="center"/>
    </xf>
    <xf numFmtId="0" fontId="218" fillId="0" borderId="131" xfId="0" applyFont="1" applyFill="1" applyBorder="1" applyAlignment="1" applyProtection="1">
      <alignment horizontal="center" vertical="center"/>
    </xf>
    <xf numFmtId="0" fontId="218" fillId="0" borderId="93" xfId="0" applyFont="1" applyFill="1" applyBorder="1" applyAlignment="1" applyProtection="1">
      <alignment horizontal="center" vertical="center"/>
    </xf>
    <xf numFmtId="0" fontId="265" fillId="19" borderId="0" xfId="0" applyFont="1" applyFill="1" applyBorder="1" applyAlignment="1" applyProtection="1">
      <alignment horizontal="center"/>
    </xf>
    <xf numFmtId="0" fontId="219" fillId="0" borderId="10" xfId="0" applyFont="1" applyFill="1" applyBorder="1" applyAlignment="1" applyProtection="1">
      <alignment vertical="center"/>
    </xf>
    <xf numFmtId="0" fontId="219" fillId="0" borderId="5" xfId="0" applyFont="1" applyFill="1" applyBorder="1" applyAlignment="1" applyProtection="1">
      <alignment vertical="center"/>
    </xf>
    <xf numFmtId="0" fontId="219" fillId="0" borderId="54" xfId="0" applyFont="1" applyFill="1" applyBorder="1" applyAlignment="1" applyProtection="1">
      <alignment horizontal="right" vertical="center"/>
    </xf>
    <xf numFmtId="0" fontId="219" fillId="0" borderId="5" xfId="0" applyFont="1" applyFill="1" applyBorder="1" applyAlignment="1" applyProtection="1">
      <alignment horizontal="right" vertical="center"/>
    </xf>
    <xf numFmtId="0" fontId="219" fillId="0" borderId="12" xfId="0" applyFont="1" applyFill="1" applyBorder="1" applyAlignment="1" applyProtection="1">
      <alignment horizontal="right" vertical="center"/>
    </xf>
    <xf numFmtId="0" fontId="222" fillId="0" borderId="123" xfId="0" applyFont="1" applyFill="1" applyBorder="1" applyAlignment="1" applyProtection="1">
      <alignment horizontal="center" vertical="center" wrapText="1"/>
    </xf>
    <xf numFmtId="0" fontId="222" fillId="0" borderId="129"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219" fillId="0" borderId="42" xfId="0" applyFont="1" applyFill="1" applyBorder="1" applyAlignment="1" applyProtection="1">
      <alignment horizontal="right" vertical="center"/>
    </xf>
    <xf numFmtId="0" fontId="219" fillId="0" borderId="8" xfId="0" applyFont="1" applyFill="1" applyBorder="1" applyAlignment="1" applyProtection="1">
      <alignment horizontal="right" vertical="center"/>
    </xf>
    <xf numFmtId="0" fontId="219" fillId="0" borderId="11" xfId="0" applyFont="1" applyFill="1" applyBorder="1" applyAlignment="1" applyProtection="1">
      <alignment horizontal="right" vertical="center"/>
    </xf>
    <xf numFmtId="0" fontId="225" fillId="0" borderId="41" xfId="0" applyFont="1" applyFill="1" applyBorder="1" applyAlignment="1" applyProtection="1">
      <alignment horizontal="right" vertical="center"/>
    </xf>
    <xf numFmtId="0" fontId="225" fillId="0" borderId="17" xfId="0" applyFont="1" applyFill="1" applyBorder="1" applyAlignment="1" applyProtection="1">
      <alignment horizontal="right" vertical="center"/>
    </xf>
    <xf numFmtId="0" fontId="225" fillId="0" borderId="29" xfId="0" applyFont="1" applyFill="1" applyBorder="1" applyAlignment="1" applyProtection="1">
      <alignment horizontal="right" vertical="center"/>
    </xf>
    <xf numFmtId="0" fontId="222" fillId="5" borderId="146" xfId="0" applyFont="1" applyFill="1" applyBorder="1" applyAlignment="1" applyProtection="1">
      <alignment horizontal="center" vertical="center" wrapText="1"/>
    </xf>
    <xf numFmtId="0" fontId="222" fillId="5" borderId="84" xfId="0" applyFont="1" applyFill="1" applyBorder="1" applyAlignment="1" applyProtection="1">
      <alignment horizontal="center" vertical="center" wrapText="1"/>
    </xf>
    <xf numFmtId="0" fontId="222" fillId="0" borderId="51" xfId="0" applyFont="1" applyFill="1" applyBorder="1" applyAlignment="1" applyProtection="1">
      <alignment horizontal="left" vertical="center"/>
    </xf>
    <xf numFmtId="0" fontId="222" fillId="0" borderId="0" xfId="0" applyFont="1" applyFill="1" applyBorder="1" applyAlignment="1" applyProtection="1">
      <alignment horizontal="left" vertical="center"/>
    </xf>
    <xf numFmtId="0" fontId="222" fillId="0" borderId="44" xfId="0" applyFont="1" applyFill="1" applyBorder="1" applyAlignment="1" applyProtection="1">
      <alignment horizontal="left" vertical="center"/>
    </xf>
    <xf numFmtId="0" fontId="222" fillId="0" borderId="24" xfId="0"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222" fillId="0" borderId="41" xfId="0" applyFont="1" applyFill="1" applyBorder="1" applyAlignment="1" applyProtection="1">
      <alignment horizontal="center" vertical="center"/>
    </xf>
    <xf numFmtId="0" fontId="222" fillId="0" borderId="29" xfId="0" applyFont="1" applyFill="1" applyBorder="1" applyAlignment="1" applyProtection="1">
      <alignment horizontal="center" vertical="center"/>
    </xf>
    <xf numFmtId="0" fontId="219" fillId="0" borderId="41" xfId="0" applyFont="1" applyFill="1" applyBorder="1" applyAlignment="1" applyProtection="1">
      <alignment horizontal="center" vertical="center" wrapText="1"/>
    </xf>
    <xf numFmtId="0" fontId="219" fillId="0" borderId="29" xfId="0" applyFont="1" applyFill="1" applyBorder="1" applyAlignment="1" applyProtection="1">
      <alignment horizontal="center" vertical="center" wrapText="1"/>
    </xf>
    <xf numFmtId="0" fontId="222" fillId="5" borderId="3" xfId="0" applyFont="1" applyFill="1" applyBorder="1" applyAlignment="1" applyProtection="1">
      <alignment horizontal="center" vertical="center" wrapText="1"/>
    </xf>
    <xf numFmtId="0" fontId="222" fillId="5" borderId="4" xfId="0" applyFont="1" applyFill="1" applyBorder="1" applyAlignment="1" applyProtection="1">
      <alignment horizontal="center" vertical="center" wrapText="1"/>
    </xf>
    <xf numFmtId="0" fontId="218" fillId="5" borderId="15" xfId="0" applyFont="1" applyFill="1" applyBorder="1" applyAlignment="1" applyProtection="1">
      <alignment horizontal="center" vertical="center"/>
    </xf>
    <xf numFmtId="0" fontId="218" fillId="5" borderId="37" xfId="0" applyFont="1" applyFill="1" applyBorder="1" applyAlignment="1" applyProtection="1">
      <alignment horizontal="center" vertical="center"/>
    </xf>
    <xf numFmtId="0" fontId="244" fillId="20" borderId="130" xfId="0" applyFont="1" applyFill="1" applyBorder="1" applyAlignment="1" applyProtection="1">
      <alignment horizontal="center" vertical="top" wrapText="1"/>
    </xf>
    <xf numFmtId="0" fontId="244" fillId="20" borderId="118" xfId="0" applyFont="1" applyFill="1" applyBorder="1" applyAlignment="1" applyProtection="1">
      <alignment horizontal="center" vertical="top" wrapText="1"/>
    </xf>
    <xf numFmtId="0" fontId="244" fillId="20" borderId="147" xfId="0" applyFont="1" applyFill="1" applyBorder="1" applyAlignment="1" applyProtection="1">
      <alignment horizontal="center" vertical="top" wrapText="1"/>
    </xf>
    <xf numFmtId="0" fontId="244" fillId="0" borderId="0" xfId="0" applyFont="1" applyFill="1" applyBorder="1" applyAlignment="1" applyProtection="1">
      <alignment horizontal="center"/>
    </xf>
    <xf numFmtId="0" fontId="271" fillId="0" borderId="0" xfId="0" applyFont="1" applyFill="1" applyAlignment="1" applyProtection="1">
      <alignment horizontal="center" vertical="top"/>
    </xf>
    <xf numFmtId="0" fontId="218" fillId="0" borderId="135" xfId="0" applyFont="1" applyFill="1" applyBorder="1" applyAlignment="1" applyProtection="1">
      <alignment horizontal="center" vertical="center"/>
    </xf>
    <xf numFmtId="0" fontId="218" fillId="0" borderId="26" xfId="0" applyFont="1" applyFill="1" applyBorder="1" applyAlignment="1" applyProtection="1">
      <alignment horizontal="center" vertical="center"/>
    </xf>
    <xf numFmtId="0" fontId="216" fillId="0" borderId="0" xfId="0" applyFont="1" applyFill="1" applyBorder="1" applyAlignment="1" applyProtection="1">
      <alignment horizontal="center"/>
    </xf>
    <xf numFmtId="0" fontId="218" fillId="0" borderId="45" xfId="0" applyFont="1" applyFill="1" applyBorder="1" applyAlignment="1" applyProtection="1">
      <alignment horizontal="center" vertical="center"/>
    </xf>
    <xf numFmtId="0" fontId="10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222" fillId="0" borderId="24" xfId="0" applyFont="1" applyFill="1" applyBorder="1" applyAlignment="1" applyProtection="1">
      <alignment horizontal="center" vertical="center"/>
    </xf>
    <xf numFmtId="0" fontId="222" fillId="5" borderId="131" xfId="0" applyFont="1" applyFill="1" applyBorder="1" applyAlignment="1" applyProtection="1">
      <alignment horizontal="center" vertical="center" wrapText="1"/>
    </xf>
    <xf numFmtId="0" fontId="222" fillId="5" borderId="45" xfId="0" applyFont="1" applyFill="1" applyBorder="1" applyAlignment="1" applyProtection="1">
      <alignment horizontal="center" vertical="center" wrapText="1"/>
    </xf>
    <xf numFmtId="0" fontId="222" fillId="5" borderId="93" xfId="0" applyFont="1" applyFill="1" applyBorder="1" applyAlignment="1" applyProtection="1">
      <alignment horizontal="center" vertical="center" wrapText="1"/>
    </xf>
    <xf numFmtId="0" fontId="222" fillId="5" borderId="51" xfId="0" applyFont="1" applyFill="1" applyBorder="1" applyAlignment="1" applyProtection="1">
      <alignment horizontal="center" vertical="center" wrapText="1"/>
    </xf>
    <xf numFmtId="0" fontId="222" fillId="5" borderId="0" xfId="0" applyFont="1" applyFill="1" applyBorder="1" applyAlignment="1" applyProtection="1">
      <alignment horizontal="center" vertical="center" wrapText="1"/>
    </xf>
    <xf numFmtId="0" fontId="222" fillId="5" borderId="28" xfId="0" applyFont="1" applyFill="1" applyBorder="1" applyAlignment="1" applyProtection="1">
      <alignment horizontal="center" vertical="center" wrapText="1"/>
    </xf>
    <xf numFmtId="0" fontId="219" fillId="5" borderId="44" xfId="0" applyFont="1" applyFill="1" applyBorder="1" applyAlignment="1" applyProtection="1">
      <alignment horizontal="center" vertical="center" wrapText="1"/>
    </xf>
    <xf numFmtId="0" fontId="219" fillId="5" borderId="24" xfId="0" applyFont="1" applyFill="1" applyBorder="1" applyAlignment="1" applyProtection="1">
      <alignment horizontal="center" vertical="center" wrapText="1"/>
    </xf>
    <xf numFmtId="0" fontId="219" fillId="5" borderId="22" xfId="0" applyFont="1" applyFill="1" applyBorder="1" applyAlignment="1" applyProtection="1">
      <alignment horizontal="center" vertical="center" wrapText="1"/>
    </xf>
    <xf numFmtId="0" fontId="219" fillId="0" borderId="42" xfId="0" applyFont="1" applyFill="1" applyBorder="1" applyAlignment="1" applyProtection="1">
      <alignment horizontal="center" vertical="center" wrapText="1"/>
    </xf>
    <xf numFmtId="0" fontId="219" fillId="0" borderId="8" xfId="0" applyFont="1" applyFill="1" applyBorder="1" applyAlignment="1" applyProtection="1">
      <alignment horizontal="center" vertical="center" wrapText="1"/>
    </xf>
    <xf numFmtId="0" fontId="219" fillId="0" borderId="23" xfId="0" applyFont="1" applyFill="1" applyBorder="1" applyAlignment="1" applyProtection="1">
      <alignment horizontal="center" vertical="center" wrapText="1"/>
    </xf>
    <xf numFmtId="0" fontId="222" fillId="0" borderId="131" xfId="0" applyFont="1" applyFill="1" applyBorder="1" applyAlignment="1" applyProtection="1">
      <alignment horizontal="left" vertical="center" wrapText="1"/>
    </xf>
    <xf numFmtId="0" fontId="222" fillId="0" borderId="45" xfId="0" applyFont="1" applyFill="1" applyBorder="1" applyAlignment="1" applyProtection="1">
      <alignment horizontal="left" vertical="center" wrapText="1"/>
    </xf>
    <xf numFmtId="0" fontId="222" fillId="0" borderId="140" xfId="0" applyFont="1" applyFill="1" applyBorder="1" applyAlignment="1" applyProtection="1">
      <alignment horizontal="left" vertical="center" wrapText="1"/>
    </xf>
    <xf numFmtId="0" fontId="222" fillId="0" borderId="44" xfId="0" applyFont="1" applyFill="1" applyBorder="1" applyAlignment="1" applyProtection="1">
      <alignment horizontal="left" vertical="center" wrapText="1"/>
    </xf>
    <xf numFmtId="0" fontId="222" fillId="0" borderId="24" xfId="0" applyFont="1" applyFill="1" applyBorder="1" applyAlignment="1" applyProtection="1">
      <alignment horizontal="left" vertical="center" wrapText="1"/>
    </xf>
    <xf numFmtId="0" fontId="222" fillId="0" borderId="25" xfId="0" applyFont="1" applyFill="1" applyBorder="1" applyAlignment="1" applyProtection="1">
      <alignment horizontal="left" vertical="center" wrapText="1"/>
    </xf>
    <xf numFmtId="0" fontId="127" fillId="0" borderId="45" xfId="0" quotePrefix="1" applyFont="1" applyBorder="1" applyAlignment="1">
      <alignment horizontal="right" vertical="center"/>
    </xf>
    <xf numFmtId="0" fontId="222" fillId="5" borderId="16" xfId="0" applyFont="1" applyFill="1" applyBorder="1" applyAlignment="1" applyProtection="1">
      <alignment horizontal="center" vertical="center" wrapText="1"/>
    </xf>
    <xf numFmtId="0" fontId="222" fillId="5" borderId="18" xfId="0" applyFont="1" applyFill="1" applyBorder="1" applyAlignment="1" applyProtection="1">
      <alignment horizontal="center" vertical="center" wrapText="1"/>
    </xf>
    <xf numFmtId="0" fontId="222" fillId="5" borderId="43" xfId="0" applyFont="1" applyFill="1" applyBorder="1" applyAlignment="1" applyProtection="1">
      <alignment horizontal="center" vertical="center" wrapText="1"/>
    </xf>
    <xf numFmtId="0" fontId="222" fillId="0" borderId="51" xfId="0" applyFont="1" applyFill="1" applyBorder="1" applyAlignment="1" applyProtection="1">
      <alignment horizontal="center" vertical="center"/>
    </xf>
    <xf numFmtId="0" fontId="222" fillId="0" borderId="0" xfId="0" applyFont="1" applyFill="1" applyBorder="1" applyAlignment="1" applyProtection="1">
      <alignment horizontal="center" vertical="center"/>
    </xf>
    <xf numFmtId="0" fontId="222" fillId="0" borderId="46" xfId="0" applyFont="1" applyFill="1" applyBorder="1" applyAlignment="1" applyProtection="1">
      <alignment horizontal="center" vertical="center"/>
    </xf>
    <xf numFmtId="0" fontId="222" fillId="0" borderId="17" xfId="0" applyFont="1" applyFill="1" applyBorder="1" applyAlignment="1" applyProtection="1">
      <alignment horizontal="center" vertical="center"/>
    </xf>
    <xf numFmtId="0" fontId="222" fillId="0" borderId="41" xfId="0" applyFont="1" applyFill="1" applyBorder="1" applyAlignment="1" applyProtection="1">
      <alignment horizontal="right" vertical="center" wrapText="1"/>
    </xf>
    <xf numFmtId="0" fontId="222" fillId="0" borderId="17" xfId="0" applyFont="1" applyFill="1" applyBorder="1" applyAlignment="1" applyProtection="1">
      <alignment horizontal="right" vertical="center" wrapText="1"/>
    </xf>
    <xf numFmtId="0" fontId="234" fillId="0" borderId="131" xfId="0" applyFont="1" applyFill="1" applyBorder="1" applyAlignment="1" applyProtection="1">
      <alignment horizontal="center" vertical="center"/>
    </xf>
    <xf numFmtId="0" fontId="234" fillId="0" borderId="45" xfId="0" applyFont="1" applyFill="1" applyBorder="1" applyAlignment="1" applyProtection="1">
      <alignment horizontal="center" vertical="center"/>
    </xf>
    <xf numFmtId="0" fontId="234" fillId="0" borderId="51" xfId="0" applyFont="1" applyFill="1" applyBorder="1" applyAlignment="1" applyProtection="1">
      <alignment horizontal="center" vertical="center"/>
    </xf>
    <xf numFmtId="0" fontId="234" fillId="0" borderId="0" xfId="0" applyFont="1" applyFill="1" applyBorder="1" applyAlignment="1" applyProtection="1">
      <alignment horizontal="center" vertical="center"/>
    </xf>
    <xf numFmtId="0" fontId="234" fillId="0" borderId="44" xfId="0" applyFont="1" applyFill="1" applyBorder="1" applyAlignment="1" applyProtection="1">
      <alignment horizontal="center" vertical="center"/>
    </xf>
    <xf numFmtId="0" fontId="234" fillId="0" borderId="24" xfId="0" applyFont="1" applyFill="1" applyBorder="1" applyAlignment="1" applyProtection="1">
      <alignment horizontal="center" vertical="center"/>
    </xf>
    <xf numFmtId="0" fontId="13" fillId="0" borderId="43" xfId="0" applyFont="1" applyFill="1" applyBorder="1" applyAlignment="1" applyProtection="1">
      <alignment horizontal="center"/>
    </xf>
    <xf numFmtId="0" fontId="13" fillId="0" borderId="16" xfId="0" applyFont="1" applyFill="1" applyBorder="1" applyAlignment="1" applyProtection="1">
      <alignment horizontal="center"/>
    </xf>
    <xf numFmtId="0" fontId="13" fillId="0" borderId="18" xfId="0" applyFont="1" applyFill="1" applyBorder="1" applyAlignment="1" applyProtection="1">
      <alignment horizontal="center"/>
    </xf>
    <xf numFmtId="0" fontId="211" fillId="14" borderId="42" xfId="0" applyFont="1" applyFill="1" applyBorder="1" applyAlignment="1" applyProtection="1">
      <alignment horizontal="right" vertical="center"/>
    </xf>
    <xf numFmtId="0" fontId="211" fillId="14" borderId="8" xfId="0" applyFont="1" applyFill="1" applyBorder="1" applyAlignment="1" applyProtection="1">
      <alignment horizontal="right" vertical="center"/>
    </xf>
    <xf numFmtId="0" fontId="193" fillId="0" borderId="41" xfId="0" applyFont="1" applyFill="1" applyBorder="1" applyAlignment="1" applyProtection="1">
      <alignment horizontal="right" vertical="center"/>
    </xf>
    <xf numFmtId="0" fontId="193" fillId="0" borderId="17" xfId="0" applyFont="1" applyFill="1" applyBorder="1" applyAlignment="1" applyProtection="1">
      <alignment horizontal="right" vertic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93" fillId="0" borderId="17" xfId="0" applyFont="1" applyFill="1" applyBorder="1" applyAlignment="1" applyProtection="1">
      <alignment horizontal="right"/>
    </xf>
    <xf numFmtId="0" fontId="193" fillId="0" borderId="37" xfId="0" applyFont="1" applyFill="1" applyBorder="1" applyAlignment="1" applyProtection="1">
      <alignment horizontal="right"/>
    </xf>
    <xf numFmtId="0" fontId="325" fillId="0" borderId="51" xfId="0" applyFont="1" applyFill="1" applyBorder="1" applyAlignment="1" applyProtection="1">
      <alignment horizontal="left" indent="1"/>
    </xf>
    <xf numFmtId="0" fontId="325" fillId="0" borderId="28" xfId="0" applyFont="1" applyFill="1" applyBorder="1" applyAlignment="1" applyProtection="1">
      <alignment horizontal="left" indent="1"/>
    </xf>
    <xf numFmtId="0" fontId="355" fillId="13" borderId="0" xfId="0" applyFont="1" applyFill="1" applyBorder="1" applyAlignment="1" applyProtection="1">
      <alignment horizontal="left" vertical="center" wrapText="1"/>
    </xf>
    <xf numFmtId="0" fontId="30" fillId="0" borderId="131" xfId="0" applyFont="1" applyBorder="1" applyAlignment="1" applyProtection="1">
      <alignment horizontal="center" vertical="top" wrapText="1"/>
    </xf>
    <xf numFmtId="0" fontId="30" fillId="0" borderId="45" xfId="0" applyFont="1" applyBorder="1" applyAlignment="1" applyProtection="1">
      <alignment horizontal="center" vertical="top" wrapText="1"/>
    </xf>
    <xf numFmtId="0" fontId="30" fillId="0" borderId="93" xfId="0" applyFont="1" applyBorder="1" applyAlignment="1" applyProtection="1">
      <alignment horizontal="center" vertical="top" wrapText="1"/>
    </xf>
    <xf numFmtId="0" fontId="30" fillId="0" borderId="44" xfId="0" applyFont="1" applyBorder="1" applyAlignment="1" applyProtection="1">
      <alignment horizontal="center" vertical="top" wrapText="1"/>
    </xf>
    <xf numFmtId="0" fontId="30" fillId="0" borderId="24" xfId="0" applyFont="1" applyBorder="1" applyAlignment="1" applyProtection="1">
      <alignment horizontal="center" vertical="top" wrapText="1"/>
    </xf>
    <xf numFmtId="0" fontId="30" fillId="0" borderId="22" xfId="0" applyFont="1" applyBorder="1" applyAlignment="1" applyProtection="1">
      <alignment horizontal="center" vertical="top" wrapText="1"/>
    </xf>
    <xf numFmtId="0" fontId="325" fillId="0" borderId="48" xfId="0" applyFont="1" applyFill="1" applyBorder="1" applyAlignment="1" applyProtection="1">
      <alignment horizontal="left" indent="1"/>
    </xf>
    <xf numFmtId="0" fontId="204" fillId="16" borderId="96" xfId="0" applyFont="1" applyFill="1" applyBorder="1" applyAlignment="1" applyProtection="1">
      <alignment horizontal="center" vertical="center" wrapText="1"/>
    </xf>
    <xf numFmtId="0" fontId="204" fillId="16" borderId="114" xfId="0" applyFont="1" applyFill="1" applyBorder="1" applyAlignment="1" applyProtection="1">
      <alignment horizontal="center" vertical="center" wrapText="1"/>
    </xf>
    <xf numFmtId="0" fontId="204" fillId="16" borderId="141" xfId="0" applyFont="1" applyFill="1" applyBorder="1" applyAlignment="1" applyProtection="1">
      <alignment horizontal="center" vertical="center" wrapText="1"/>
    </xf>
    <xf numFmtId="0" fontId="204" fillId="16" borderId="43" xfId="0" applyFont="1" applyFill="1" applyBorder="1" applyAlignment="1" applyProtection="1">
      <alignment horizontal="center" vertical="center" wrapText="1"/>
    </xf>
    <xf numFmtId="0" fontId="204" fillId="16" borderId="16" xfId="0" applyFont="1" applyFill="1" applyBorder="1" applyAlignment="1" applyProtection="1">
      <alignment horizontal="center" vertical="center" wrapText="1"/>
    </xf>
    <xf numFmtId="0" fontId="204" fillId="16" borderId="18" xfId="0" applyFont="1" applyFill="1" applyBorder="1" applyAlignment="1" applyProtection="1">
      <alignment horizontal="center" vertical="center" wrapText="1"/>
    </xf>
    <xf numFmtId="191" fontId="154" fillId="0" borderId="14" xfId="0" applyNumberFormat="1" applyFont="1" applyFill="1" applyBorder="1" applyAlignment="1" applyProtection="1">
      <alignment horizontal="center" vertical="center"/>
    </xf>
    <xf numFmtId="191" fontId="154" fillId="0" borderId="18" xfId="0" applyNumberFormat="1" applyFont="1" applyFill="1" applyBorder="1" applyAlignment="1" applyProtection="1">
      <alignment horizontal="center" vertical="center"/>
    </xf>
    <xf numFmtId="185" fontId="154" fillId="0" borderId="10" xfId="0" applyNumberFormat="1" applyFont="1" applyFill="1" applyBorder="1" applyAlignment="1" applyProtection="1">
      <alignment horizontal="center" vertical="center"/>
    </xf>
    <xf numFmtId="185" fontId="154" fillId="0" borderId="13" xfId="0" applyNumberFormat="1" applyFont="1" applyFill="1" applyBorder="1" applyAlignment="1" applyProtection="1">
      <alignment horizontal="center" vertical="center"/>
    </xf>
    <xf numFmtId="0" fontId="97" fillId="0" borderId="0" xfId="0" applyFont="1" applyAlignment="1" applyProtection="1">
      <alignment horizontal="left" vertical="top" wrapText="1"/>
    </xf>
    <xf numFmtId="0" fontId="222" fillId="0" borderId="87" xfId="0" applyFont="1" applyFill="1" applyBorder="1" applyAlignment="1" applyProtection="1">
      <alignment horizontal="center" vertical="center" wrapText="1"/>
    </xf>
    <xf numFmtId="0" fontId="222" fillId="0" borderId="122" xfId="0" applyFont="1" applyFill="1" applyBorder="1" applyAlignment="1" applyProtection="1">
      <alignment horizontal="center" vertical="center" wrapText="1"/>
    </xf>
    <xf numFmtId="0" fontId="222" fillId="0" borderId="55" xfId="0" applyFont="1" applyFill="1" applyBorder="1" applyAlignment="1" applyProtection="1">
      <alignment horizontal="center" vertical="center" wrapText="1"/>
    </xf>
    <xf numFmtId="0" fontId="226" fillId="0" borderId="106" xfId="0" applyFont="1" applyFill="1" applyBorder="1" applyAlignment="1" applyProtection="1">
      <alignment vertical="top" wrapText="1"/>
    </xf>
    <xf numFmtId="0" fontId="234" fillId="21" borderId="9" xfId="0" applyFont="1" applyFill="1" applyBorder="1" applyAlignment="1" applyProtection="1">
      <alignment horizontal="center" vertical="center"/>
    </xf>
    <xf numFmtId="0" fontId="234" fillId="21" borderId="11" xfId="0" applyFont="1" applyFill="1" applyBorder="1" applyAlignment="1" applyProtection="1">
      <alignment horizontal="center" vertical="center"/>
    </xf>
    <xf numFmtId="0" fontId="240" fillId="0" borderId="131" xfId="0" applyFont="1" applyFill="1" applyBorder="1" applyAlignment="1" applyProtection="1">
      <alignment horizontal="center" vertical="center" wrapText="1"/>
    </xf>
    <xf numFmtId="0" fontId="240" fillId="0" borderId="45" xfId="0" applyFont="1" applyFill="1" applyBorder="1" applyAlignment="1" applyProtection="1">
      <alignment horizontal="center" vertical="center" wrapText="1"/>
    </xf>
    <xf numFmtId="0" fontId="240" fillId="0" borderId="44" xfId="0" applyFont="1" applyFill="1" applyBorder="1" applyAlignment="1" applyProtection="1">
      <alignment horizontal="center" vertical="center" wrapText="1"/>
    </xf>
    <xf numFmtId="0" fontId="240" fillId="0" borderId="24" xfId="0" applyFont="1" applyFill="1" applyBorder="1" applyAlignment="1" applyProtection="1">
      <alignment horizontal="center" vertical="center" wrapText="1"/>
    </xf>
    <xf numFmtId="0" fontId="404" fillId="0" borderId="45" xfId="0" applyFont="1" applyFill="1" applyBorder="1" applyAlignment="1" applyProtection="1">
      <alignment horizontal="left" vertical="center"/>
    </xf>
    <xf numFmtId="0" fontId="404" fillId="0" borderId="93" xfId="0" applyFont="1" applyFill="1" applyBorder="1" applyAlignment="1" applyProtection="1">
      <alignment horizontal="left" vertical="center"/>
    </xf>
    <xf numFmtId="0" fontId="404" fillId="0" borderId="24" xfId="0" applyFont="1" applyFill="1" applyBorder="1" applyAlignment="1" applyProtection="1">
      <alignment horizontal="left" vertical="center"/>
    </xf>
    <xf numFmtId="0" fontId="404" fillId="0" borderId="22" xfId="0" applyFont="1" applyFill="1" applyBorder="1" applyAlignment="1" applyProtection="1">
      <alignment horizontal="left" vertical="center"/>
    </xf>
    <xf numFmtId="0" fontId="240" fillId="0" borderId="131" xfId="0" applyFont="1" applyFill="1" applyBorder="1" applyAlignment="1" applyProtection="1">
      <alignment horizontal="center" vertical="center"/>
    </xf>
    <xf numFmtId="0" fontId="240" fillId="0" borderId="140" xfId="0" applyFont="1" applyFill="1" applyBorder="1" applyAlignment="1" applyProtection="1">
      <alignment horizontal="center" vertical="center"/>
    </xf>
    <xf numFmtId="0" fontId="240" fillId="0" borderId="51" xfId="0" applyFont="1" applyFill="1" applyBorder="1" applyAlignment="1" applyProtection="1">
      <alignment horizontal="center" vertical="center"/>
    </xf>
    <xf numFmtId="0" fontId="240" fillId="0" borderId="46" xfId="0" applyFont="1" applyFill="1" applyBorder="1" applyAlignment="1" applyProtection="1">
      <alignment horizontal="center" vertical="center"/>
    </xf>
    <xf numFmtId="0" fontId="240" fillId="0" borderId="161" xfId="0" applyFont="1" applyFill="1" applyBorder="1" applyAlignment="1" applyProtection="1">
      <alignment horizontal="center" vertical="center"/>
    </xf>
    <xf numFmtId="0" fontId="240" fillId="0" borderId="143" xfId="0" applyFont="1" applyFill="1" applyBorder="1" applyAlignment="1" applyProtection="1">
      <alignment horizontal="center" vertical="center"/>
    </xf>
    <xf numFmtId="0" fontId="222" fillId="0" borderId="40" xfId="0" applyFont="1" applyFill="1" applyBorder="1" applyAlignment="1" applyProtection="1">
      <alignment horizontal="center" vertical="center"/>
    </xf>
    <xf numFmtId="0" fontId="222" fillId="0" borderId="3" xfId="0" applyFont="1" applyFill="1" applyBorder="1" applyAlignment="1" applyProtection="1">
      <alignment horizontal="center" vertical="center"/>
    </xf>
    <xf numFmtId="0" fontId="222" fillId="0" borderId="19" xfId="0" applyFont="1" applyFill="1" applyBorder="1" applyAlignment="1" applyProtection="1">
      <alignment horizontal="center" vertical="center"/>
    </xf>
    <xf numFmtId="0" fontId="222" fillId="0" borderId="45" xfId="0" applyFont="1" applyFill="1" applyBorder="1" applyAlignment="1" applyProtection="1">
      <alignment horizontal="center" vertical="center"/>
    </xf>
    <xf numFmtId="0" fontId="222" fillId="0" borderId="42" xfId="0" applyFont="1" applyFill="1" applyBorder="1" applyAlignment="1" applyProtection="1">
      <alignment horizontal="center" vertical="center"/>
    </xf>
    <xf numFmtId="0" fontId="222" fillId="0" borderId="11" xfId="0" applyFont="1" applyFill="1" applyBorder="1" applyAlignment="1" applyProtection="1">
      <alignment horizontal="center" vertical="center"/>
    </xf>
    <xf numFmtId="0" fontId="229" fillId="0" borderId="9" xfId="0" applyFont="1" applyFill="1" applyBorder="1" applyAlignment="1" applyProtection="1">
      <alignment horizontal="left" vertical="center"/>
    </xf>
    <xf numFmtId="0" fontId="229" fillId="0" borderId="23" xfId="0" applyFont="1" applyFill="1" applyBorder="1" applyAlignment="1" applyProtection="1">
      <alignment horizontal="left" vertical="center"/>
    </xf>
    <xf numFmtId="0" fontId="67" fillId="0" borderId="0" xfId="0" applyFont="1" applyFill="1" applyAlignment="1" applyProtection="1">
      <alignment horizontal="left" vertical="center"/>
    </xf>
    <xf numFmtId="0" fontId="234" fillId="5" borderId="44" xfId="0" applyFont="1" applyFill="1" applyBorder="1" applyAlignment="1" applyProtection="1">
      <alignment horizontal="center" vertical="center" wrapText="1"/>
    </xf>
    <xf numFmtId="0" fontId="234" fillId="5" borderId="22" xfId="0" applyFont="1" applyFill="1" applyBorder="1" applyAlignment="1" applyProtection="1">
      <alignment horizontal="center" vertical="center" wrapText="1"/>
    </xf>
    <xf numFmtId="165" fontId="222" fillId="0" borderId="40" xfId="0" applyNumberFormat="1" applyFont="1" applyFill="1" applyBorder="1" applyAlignment="1" applyProtection="1">
      <alignment horizontal="center" vertical="center"/>
    </xf>
    <xf numFmtId="165" fontId="222" fillId="0" borderId="4" xfId="0" applyNumberFormat="1" applyFont="1" applyFill="1" applyBorder="1" applyAlignment="1" applyProtection="1">
      <alignment horizontal="center" vertical="center"/>
    </xf>
    <xf numFmtId="165" fontId="222" fillId="0" borderId="54" xfId="0" applyNumberFormat="1" applyFont="1" applyFill="1" applyBorder="1" applyAlignment="1" applyProtection="1">
      <alignment horizontal="center" vertical="center"/>
    </xf>
    <xf numFmtId="165" fontId="222" fillId="0" borderId="13" xfId="0" applyNumberFormat="1" applyFont="1" applyFill="1" applyBorder="1" applyAlignment="1" applyProtection="1">
      <alignment horizontal="center" vertical="center"/>
    </xf>
    <xf numFmtId="165" fontId="222" fillId="0" borderId="42" xfId="0" applyNumberFormat="1" applyFont="1" applyFill="1" applyBorder="1" applyAlignment="1" applyProtection="1">
      <alignment horizontal="center" vertical="center"/>
    </xf>
    <xf numFmtId="165" fontId="222" fillId="0" borderId="23" xfId="0" applyNumberFormat="1" applyFont="1" applyFill="1" applyBorder="1" applyAlignment="1" applyProtection="1">
      <alignment horizontal="center" vertical="center"/>
    </xf>
    <xf numFmtId="166" fontId="219" fillId="0" borderId="17" xfId="0" applyNumberFormat="1" applyFont="1" applyFill="1" applyBorder="1" applyAlignment="1" applyProtection="1">
      <alignment horizontal="center" vertical="center"/>
    </xf>
    <xf numFmtId="166" fontId="219" fillId="0" borderId="37" xfId="0" applyNumberFormat="1" applyFont="1" applyFill="1" applyBorder="1" applyAlignment="1" applyProtection="1">
      <alignment horizontal="center" vertical="center"/>
    </xf>
    <xf numFmtId="0" fontId="234" fillId="5" borderId="43" xfId="0" applyFont="1" applyFill="1" applyBorder="1" applyAlignment="1" applyProtection="1">
      <alignment horizontal="center" vertical="center" wrapText="1"/>
    </xf>
    <xf numFmtId="0" fontId="234" fillId="5" borderId="16" xfId="0" applyFont="1" applyFill="1" applyBorder="1" applyAlignment="1" applyProtection="1">
      <alignment horizontal="center" vertical="center" wrapText="1"/>
    </xf>
    <xf numFmtId="0" fontId="234" fillId="5" borderId="18" xfId="0" applyFont="1" applyFill="1" applyBorder="1" applyAlignment="1" applyProtection="1">
      <alignment horizontal="center" vertical="center" wrapText="1"/>
    </xf>
    <xf numFmtId="175" fontId="236" fillId="0" borderId="41" xfId="0" applyNumberFormat="1" applyFont="1" applyFill="1" applyBorder="1" applyAlignment="1" applyProtection="1">
      <alignment horizontal="center" vertical="center"/>
    </xf>
    <xf numFmtId="175" fontId="236" fillId="0" borderId="37" xfId="0" applyNumberFormat="1" applyFont="1" applyFill="1" applyBorder="1" applyAlignment="1" applyProtection="1">
      <alignment horizontal="center" vertical="center"/>
    </xf>
    <xf numFmtId="0" fontId="88" fillId="13" borderId="0" xfId="0" applyFont="1" applyFill="1" applyBorder="1" applyAlignment="1" applyProtection="1">
      <alignment horizontal="center" vertical="center" wrapText="1"/>
    </xf>
    <xf numFmtId="0" fontId="88" fillId="13" borderId="0" xfId="0" applyFont="1" applyFill="1" applyAlignment="1" applyProtection="1">
      <alignment horizontal="center" vertical="center" wrapText="1"/>
    </xf>
    <xf numFmtId="0" fontId="110" fillId="0" borderId="24" xfId="0" applyFont="1" applyFill="1" applyBorder="1" applyAlignment="1" applyProtection="1">
      <alignment horizontal="center" vertical="center"/>
    </xf>
    <xf numFmtId="0" fontId="47" fillId="7" borderId="180" xfId="0" applyFont="1" applyFill="1" applyBorder="1" applyAlignment="1" applyProtection="1">
      <alignment horizontal="center" vertical="center"/>
      <protection locked="0"/>
    </xf>
    <xf numFmtId="0" fontId="47" fillId="7" borderId="113" xfId="0" applyFont="1" applyFill="1" applyBorder="1" applyAlignment="1" applyProtection="1">
      <alignment horizontal="center" vertical="center"/>
      <protection locked="0"/>
    </xf>
    <xf numFmtId="0" fontId="16" fillId="0" borderId="135" xfId="0" applyFont="1" applyBorder="1" applyAlignment="1" applyProtection="1">
      <alignment horizontal="right" vertical="center"/>
    </xf>
    <xf numFmtId="0" fontId="16" fillId="0" borderId="26" xfId="0" applyFont="1" applyBorder="1" applyAlignment="1" applyProtection="1">
      <alignment horizontal="right" vertical="center"/>
    </xf>
    <xf numFmtId="0" fontId="19" fillId="6" borderId="41" xfId="0" applyFont="1" applyFill="1" applyBorder="1" applyAlignment="1" applyProtection="1">
      <alignment horizontal="center" vertical="center"/>
    </xf>
    <xf numFmtId="0" fontId="19" fillId="6" borderId="29"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14" fillId="0" borderId="17" xfId="0" applyFont="1" applyFill="1" applyBorder="1" applyAlignment="1" applyProtection="1">
      <alignment horizontal="right" vertical="center"/>
    </xf>
    <xf numFmtId="0" fontId="14" fillId="0" borderId="37" xfId="0" applyFont="1" applyFill="1" applyBorder="1" applyAlignment="1" applyProtection="1">
      <alignment horizontal="right" vertical="center"/>
    </xf>
    <xf numFmtId="0" fontId="166" fillId="7" borderId="14" xfId="0" applyFont="1" applyFill="1" applyBorder="1" applyAlignment="1" applyProtection="1">
      <alignment horizontal="left" vertical="center"/>
      <protection locked="0"/>
    </xf>
    <xf numFmtId="0" fontId="166" fillId="7" borderId="16" xfId="0" applyFont="1" applyFill="1" applyBorder="1" applyAlignment="1" applyProtection="1">
      <alignment horizontal="left" vertical="center"/>
      <protection locked="0"/>
    </xf>
    <xf numFmtId="0" fontId="166" fillId="7" borderId="18" xfId="0" applyFont="1" applyFill="1" applyBorder="1" applyAlignment="1" applyProtection="1">
      <alignment horizontal="left" vertical="center"/>
      <protection locked="0"/>
    </xf>
    <xf numFmtId="0" fontId="166" fillId="7" borderId="10" xfId="0" applyFont="1" applyFill="1" applyBorder="1" applyAlignment="1" applyProtection="1">
      <alignment horizontal="left" vertical="center"/>
      <protection locked="0"/>
    </xf>
    <xf numFmtId="0" fontId="166" fillId="7" borderId="5" xfId="0" applyFont="1" applyFill="1" applyBorder="1" applyAlignment="1" applyProtection="1">
      <alignment horizontal="left" vertical="center"/>
      <protection locked="0"/>
    </xf>
    <xf numFmtId="0" fontId="166" fillId="7" borderId="13" xfId="0" applyFont="1" applyFill="1" applyBorder="1" applyAlignment="1" applyProtection="1">
      <alignment horizontal="left" vertical="center"/>
      <protection locked="0"/>
    </xf>
    <xf numFmtId="0" fontId="143" fillId="11" borderId="93" xfId="0" applyFont="1" applyFill="1" applyBorder="1" applyAlignment="1" applyProtection="1">
      <alignment horizontal="center" vertical="center" textRotation="89" wrapText="1"/>
    </xf>
    <xf numFmtId="0" fontId="143" fillId="11" borderId="28" xfId="0" applyFont="1" applyFill="1" applyBorder="1" applyAlignment="1" applyProtection="1">
      <alignment horizontal="center" vertical="center" textRotation="89" wrapText="1"/>
    </xf>
    <xf numFmtId="0" fontId="143" fillId="11" borderId="22" xfId="0" applyFont="1" applyFill="1" applyBorder="1" applyAlignment="1" applyProtection="1">
      <alignment horizontal="center" vertical="center" textRotation="89" wrapText="1"/>
    </xf>
    <xf numFmtId="0" fontId="12" fillId="0" borderId="45" xfId="0" applyFont="1" applyFill="1" applyBorder="1" applyAlignment="1" applyProtection="1">
      <alignment horizontal="left" vertical="center" wrapText="1"/>
    </xf>
    <xf numFmtId="0" fontId="12" fillId="0" borderId="140"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65" fillId="18" borderId="51" xfId="0" applyFont="1" applyFill="1" applyBorder="1" applyAlignment="1" applyProtection="1">
      <alignment horizontal="left" vertical="center"/>
    </xf>
    <xf numFmtId="0" fontId="165" fillId="18" borderId="28" xfId="0" applyFont="1" applyFill="1" applyBorder="1" applyAlignment="1" applyProtection="1">
      <alignment horizontal="left" vertical="center"/>
    </xf>
    <xf numFmtId="0" fontId="82" fillId="18" borderId="96" xfId="0" applyFont="1" applyFill="1" applyBorder="1" applyAlignment="1" applyProtection="1">
      <alignment horizontal="center" vertical="center"/>
    </xf>
    <xf numFmtId="0" fontId="82" fillId="18" borderId="141" xfId="0" applyFont="1" applyFill="1" applyBorder="1" applyAlignment="1" applyProtection="1">
      <alignment horizontal="center" vertical="center"/>
    </xf>
    <xf numFmtId="0" fontId="82" fillId="18" borderId="51" xfId="0" applyFont="1" applyFill="1" applyBorder="1" applyAlignment="1" applyProtection="1">
      <alignment horizontal="center" vertical="top"/>
    </xf>
    <xf numFmtId="0" fontId="82" fillId="18" borderId="28" xfId="0" applyFont="1" applyFill="1" applyBorder="1" applyAlignment="1" applyProtection="1">
      <alignment horizontal="center" vertical="top"/>
    </xf>
    <xf numFmtId="0" fontId="171" fillId="11" borderId="17" xfId="0" applyFont="1" applyFill="1" applyBorder="1" applyAlignment="1" applyProtection="1">
      <alignment horizontal="center" vertical="center"/>
    </xf>
    <xf numFmtId="0" fontId="105" fillId="13" borderId="51" xfId="0" applyFont="1" applyFill="1" applyBorder="1" applyAlignment="1" applyProtection="1">
      <alignment horizontal="right" vertical="center"/>
    </xf>
    <xf numFmtId="0" fontId="105" fillId="13" borderId="46" xfId="0" applyFont="1" applyFill="1" applyBorder="1" applyAlignment="1" applyProtection="1">
      <alignment horizontal="right" vertical="center"/>
    </xf>
    <xf numFmtId="0" fontId="192" fillId="27" borderId="93" xfId="0" applyFont="1" applyFill="1" applyBorder="1" applyAlignment="1" applyProtection="1">
      <alignment horizontal="center" vertical="center"/>
      <protection locked="0"/>
    </xf>
    <xf numFmtId="0" fontId="192" fillId="27" borderId="18" xfId="0" applyFont="1" applyFill="1" applyBorder="1" applyAlignment="1" applyProtection="1">
      <alignment horizontal="center" vertical="center"/>
      <protection locked="0"/>
    </xf>
    <xf numFmtId="49" fontId="97" fillId="18" borderId="42" xfId="0" applyNumberFormat="1" applyFont="1" applyFill="1" applyBorder="1" applyAlignment="1" applyProtection="1">
      <alignment horizontal="left" vertical="center" indent="1"/>
    </xf>
    <xf numFmtId="49" fontId="97" fillId="18" borderId="11" xfId="0" applyNumberFormat="1" applyFont="1" applyFill="1" applyBorder="1" applyAlignment="1" applyProtection="1">
      <alignment horizontal="left" vertical="center" indent="1"/>
    </xf>
    <xf numFmtId="0" fontId="14" fillId="13" borderId="3" xfId="0" applyFont="1" applyFill="1" applyBorder="1" applyAlignment="1" applyProtection="1">
      <alignment horizontal="center" vertical="center" wrapText="1"/>
    </xf>
    <xf numFmtId="0" fontId="14" fillId="13" borderId="4" xfId="0" applyFont="1" applyFill="1" applyBorder="1" applyAlignment="1" applyProtection="1">
      <alignment horizontal="center" vertical="center" wrapText="1"/>
    </xf>
    <xf numFmtId="0" fontId="97" fillId="18" borderId="54" xfId="0" applyFont="1" applyFill="1" applyBorder="1" applyAlignment="1" applyProtection="1">
      <alignment horizontal="left" vertical="center" indent="1"/>
    </xf>
    <xf numFmtId="0" fontId="97" fillId="18" borderId="12" xfId="0" applyFont="1" applyFill="1" applyBorder="1" applyAlignment="1" applyProtection="1">
      <alignment horizontal="left" vertical="center" indent="1"/>
    </xf>
    <xf numFmtId="0" fontId="2" fillId="0" borderId="131"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140"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46"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25" xfId="0" applyFont="1" applyFill="1" applyBorder="1" applyAlignment="1" applyProtection="1">
      <alignment horizontal="left" vertical="center"/>
    </xf>
    <xf numFmtId="0" fontId="14" fillId="0" borderId="131" xfId="0" applyFont="1" applyFill="1" applyBorder="1" applyAlignment="1" applyProtection="1">
      <alignment vertical="center" wrapText="1"/>
    </xf>
    <xf numFmtId="0" fontId="14" fillId="0" borderId="45" xfId="0" applyFont="1" applyFill="1" applyBorder="1" applyAlignment="1" applyProtection="1">
      <alignment vertical="center" wrapText="1"/>
    </xf>
    <xf numFmtId="0" fontId="14" fillId="0" borderId="140" xfId="0" applyFont="1" applyFill="1" applyBorder="1" applyAlignment="1" applyProtection="1">
      <alignment vertical="center" wrapText="1"/>
    </xf>
    <xf numFmtId="0" fontId="14" fillId="0" borderId="5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46" xfId="0" applyFont="1" applyFill="1" applyBorder="1" applyAlignment="1" applyProtection="1">
      <alignment vertical="center" wrapText="1"/>
    </xf>
    <xf numFmtId="0" fontId="14" fillId="0" borderId="44" xfId="0" applyFont="1" applyFill="1" applyBorder="1" applyAlignment="1" applyProtection="1">
      <alignment vertical="center" wrapText="1"/>
    </xf>
    <xf numFmtId="0" fontId="14" fillId="0" borderId="24" xfId="0" applyFont="1" applyFill="1" applyBorder="1" applyAlignment="1" applyProtection="1">
      <alignment vertical="center" wrapText="1"/>
    </xf>
    <xf numFmtId="0" fontId="14" fillId="0" borderId="25" xfId="0" applyFont="1" applyFill="1" applyBorder="1" applyAlignment="1" applyProtection="1">
      <alignment vertical="center" wrapText="1"/>
    </xf>
    <xf numFmtId="0" fontId="14" fillId="0" borderId="131" xfId="0" applyFont="1" applyFill="1" applyBorder="1" applyAlignment="1" applyProtection="1">
      <alignment horizontal="left" vertical="center"/>
    </xf>
    <xf numFmtId="0" fontId="14" fillId="0" borderId="45" xfId="0" applyFont="1" applyFill="1" applyBorder="1" applyAlignment="1" applyProtection="1">
      <alignment horizontal="left" vertical="center"/>
    </xf>
    <xf numFmtId="0" fontId="14" fillId="0" borderId="140" xfId="0" applyFont="1" applyFill="1" applyBorder="1" applyAlignment="1" applyProtection="1">
      <alignment horizontal="left" vertical="center"/>
    </xf>
    <xf numFmtId="0" fontId="14" fillId="0" borderId="44" xfId="0" applyFont="1" applyFill="1" applyBorder="1" applyAlignment="1" applyProtection="1">
      <alignment horizontal="left" vertical="center"/>
    </xf>
    <xf numFmtId="0" fontId="14" fillId="0" borderId="24" xfId="0" applyFont="1" applyFill="1" applyBorder="1" applyAlignment="1" applyProtection="1">
      <alignment horizontal="left" vertical="center"/>
    </xf>
    <xf numFmtId="0" fontId="14" fillId="0" borderId="25" xfId="0" applyFont="1" applyFill="1" applyBorder="1" applyAlignment="1" applyProtection="1">
      <alignment horizontal="left" vertical="center"/>
    </xf>
    <xf numFmtId="0" fontId="295" fillId="22" borderId="106" xfId="0" applyFont="1" applyFill="1" applyBorder="1" applyAlignment="1" applyProtection="1">
      <alignment horizontal="center" vertical="center" wrapText="1"/>
    </xf>
    <xf numFmtId="0" fontId="295" fillId="22" borderId="84" xfId="0" applyFont="1" applyFill="1" applyBorder="1" applyAlignment="1" applyProtection="1">
      <alignment horizontal="center" vertical="center" wrapText="1"/>
    </xf>
    <xf numFmtId="0" fontId="195" fillId="6" borderId="146" xfId="0" applyFont="1" applyFill="1" applyBorder="1" applyAlignment="1" applyProtection="1">
      <alignment horizontal="center" vertical="center" textRotation="90"/>
    </xf>
    <xf numFmtId="0" fontId="195" fillId="6" borderId="106" xfId="0" applyFont="1" applyFill="1" applyBorder="1" applyAlignment="1" applyProtection="1">
      <alignment horizontal="center" vertical="center" textRotation="90"/>
    </xf>
    <xf numFmtId="0" fontId="195" fillId="6" borderId="124" xfId="0" applyFont="1" applyFill="1" applyBorder="1" applyAlignment="1" applyProtection="1">
      <alignment horizontal="center" vertical="center" textRotation="90"/>
    </xf>
    <xf numFmtId="0" fontId="195" fillId="6" borderId="108" xfId="0" applyFont="1" applyFill="1" applyBorder="1" applyAlignment="1" applyProtection="1">
      <alignment horizontal="center" vertical="center" textRotation="90"/>
    </xf>
    <xf numFmtId="0" fontId="19" fillId="6" borderId="15" xfId="0" applyFont="1" applyFill="1" applyBorder="1" applyAlignment="1" applyProtection="1">
      <alignment horizontal="center" vertical="center"/>
    </xf>
    <xf numFmtId="0" fontId="19" fillId="6" borderId="37" xfId="0" applyFont="1" applyFill="1" applyBorder="1" applyAlignment="1" applyProtection="1">
      <alignment horizontal="center" vertical="center"/>
    </xf>
    <xf numFmtId="49" fontId="2" fillId="0" borderId="51"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2" fillId="0" borderId="43" xfId="0" applyNumberFormat="1" applyFont="1" applyFill="1" applyBorder="1" applyAlignment="1" applyProtection="1">
      <alignment horizontal="left" vertical="center"/>
    </xf>
    <xf numFmtId="49" fontId="2" fillId="0" borderId="16" xfId="0" applyNumberFormat="1" applyFont="1" applyFill="1" applyBorder="1" applyAlignment="1" applyProtection="1">
      <alignment horizontal="left" vertical="center"/>
    </xf>
    <xf numFmtId="0" fontId="303" fillId="0" borderId="96" xfId="0" applyFont="1" applyFill="1" applyBorder="1" applyAlignment="1" applyProtection="1">
      <alignment horizontal="right" vertical="center" wrapText="1"/>
    </xf>
    <xf numFmtId="0" fontId="173" fillId="0" borderId="121" xfId="0" applyFont="1" applyFill="1" applyBorder="1" applyAlignment="1" applyProtection="1">
      <alignment horizontal="right" vertical="center" wrapText="1"/>
    </xf>
    <xf numFmtId="0" fontId="173" fillId="0" borderId="43" xfId="0" applyFont="1" applyFill="1" applyBorder="1" applyAlignment="1" applyProtection="1">
      <alignment horizontal="right" vertical="center" wrapText="1"/>
    </xf>
    <xf numFmtId="0" fontId="173" fillId="0" borderId="6" xfId="0" applyFont="1" applyFill="1" applyBorder="1" applyAlignment="1" applyProtection="1">
      <alignment horizontal="right" vertical="center" wrapText="1"/>
    </xf>
    <xf numFmtId="0" fontId="295" fillId="22" borderId="146" xfId="0" applyFont="1" applyFill="1" applyBorder="1" applyAlignment="1" applyProtection="1">
      <alignment horizontal="center" vertical="center" wrapText="1"/>
    </xf>
    <xf numFmtId="0" fontId="89" fillId="7" borderId="180" xfId="0" applyFont="1" applyFill="1" applyBorder="1" applyAlignment="1" applyProtection="1">
      <alignment horizontal="center" vertical="center"/>
      <protection locked="0"/>
    </xf>
    <xf numFmtId="0" fontId="89" fillId="7" borderId="113" xfId="0" applyFont="1" applyFill="1" applyBorder="1" applyAlignment="1" applyProtection="1">
      <alignment horizontal="center" vertical="center"/>
      <protection locked="0"/>
    </xf>
    <xf numFmtId="0" fontId="205" fillId="0" borderId="51" xfId="0" applyFont="1" applyFill="1" applyBorder="1" applyAlignment="1" applyProtection="1">
      <alignment horizontal="center" textRotation="90"/>
      <protection locked="0"/>
    </xf>
    <xf numFmtId="0" fontId="16" fillId="0" borderId="87" xfId="0" applyFont="1" applyFill="1" applyBorder="1" applyAlignment="1" applyProtection="1">
      <alignment horizontal="center" vertical="center" wrapText="1"/>
    </xf>
    <xf numFmtId="0" fontId="16" fillId="0" borderId="55" xfId="0" applyFont="1" applyFill="1" applyBorder="1" applyAlignment="1" applyProtection="1">
      <alignment horizontal="center" vertical="center" wrapText="1"/>
    </xf>
    <xf numFmtId="0" fontId="16" fillId="0" borderId="87" xfId="0" applyFont="1" applyFill="1" applyBorder="1" applyAlignment="1" applyProtection="1">
      <alignment horizontal="center" vertical="center"/>
    </xf>
    <xf numFmtId="0" fontId="16" fillId="0" borderId="55" xfId="0" applyFont="1" applyFill="1" applyBorder="1" applyAlignment="1" applyProtection="1">
      <alignment horizontal="center" vertical="center"/>
    </xf>
    <xf numFmtId="0" fontId="82" fillId="0" borderId="135" xfId="0" applyFont="1" applyBorder="1" applyAlignment="1" applyProtection="1">
      <alignment horizontal="right" vertical="center"/>
    </xf>
    <xf numFmtId="0" fontId="82" fillId="0" borderId="26" xfId="0" applyFont="1" applyBorder="1" applyAlignment="1" applyProtection="1">
      <alignment horizontal="right" vertical="center"/>
    </xf>
    <xf numFmtId="0" fontId="99" fillId="7" borderId="9" xfId="0" applyNumberFormat="1" applyFont="1" applyFill="1" applyBorder="1" applyAlignment="1" applyProtection="1">
      <alignment horizontal="center" vertical="center" wrapText="1"/>
      <protection locked="0"/>
    </xf>
    <xf numFmtId="0" fontId="99" fillId="7" borderId="11" xfId="0" applyNumberFormat="1" applyFont="1" applyFill="1" applyBorder="1" applyAlignment="1" applyProtection="1">
      <alignment horizontal="center" vertical="center" wrapText="1"/>
      <protection locked="0"/>
    </xf>
    <xf numFmtId="0" fontId="297" fillId="7" borderId="62" xfId="0" applyFont="1" applyFill="1" applyBorder="1" applyAlignment="1" applyProtection="1">
      <alignment horizontal="center" vertical="center" wrapText="1"/>
      <protection locked="0"/>
    </xf>
    <xf numFmtId="0" fontId="297" fillId="7" borderId="121" xfId="0" applyFont="1" applyFill="1" applyBorder="1" applyAlignment="1" applyProtection="1">
      <alignment horizontal="center" vertical="center" wrapText="1"/>
      <protection locked="0"/>
    </xf>
    <xf numFmtId="0" fontId="297" fillId="7" borderId="14" xfId="0" applyFont="1" applyFill="1" applyBorder="1" applyAlignment="1" applyProtection="1">
      <alignment horizontal="center" vertical="center" wrapText="1"/>
      <protection locked="0"/>
    </xf>
    <xf numFmtId="0" fontId="297" fillId="7" borderId="6" xfId="0" applyFont="1" applyFill="1" applyBorder="1" applyAlignment="1" applyProtection="1">
      <alignment horizontal="center" vertical="center" wrapText="1"/>
      <protection locked="0"/>
    </xf>
    <xf numFmtId="0" fontId="155" fillId="0" borderId="0" xfId="0" applyFont="1" applyFill="1" applyBorder="1" applyAlignment="1" applyProtection="1">
      <alignment horizontal="center" vertical="center" wrapText="1"/>
    </xf>
    <xf numFmtId="0" fontId="155" fillId="0" borderId="16" xfId="0" applyFont="1" applyFill="1" applyBorder="1" applyAlignment="1" applyProtection="1">
      <alignment horizontal="center" vertical="center" wrapText="1"/>
    </xf>
    <xf numFmtId="0" fontId="102" fillId="22" borderId="146" xfId="0" applyFont="1" applyFill="1" applyBorder="1" applyAlignment="1" applyProtection="1">
      <alignment horizontal="center" vertical="center" wrapText="1"/>
    </xf>
    <xf numFmtId="0" fontId="102" fillId="22" borderId="85" xfId="0" applyFont="1" applyFill="1" applyBorder="1" applyAlignment="1" applyProtection="1">
      <alignment horizontal="center" vertical="center" wrapText="1"/>
    </xf>
    <xf numFmtId="0" fontId="14" fillId="0" borderId="45" xfId="0" applyFont="1" applyFill="1" applyBorder="1" applyAlignment="1" applyProtection="1">
      <alignment horizontal="center" vertical="center" wrapText="1"/>
    </xf>
    <xf numFmtId="0" fontId="14" fillId="0" borderId="93"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50" fillId="0" borderId="9" xfId="0" applyFont="1" applyFill="1" applyBorder="1" applyAlignment="1" applyProtection="1">
      <alignment horizontal="left" vertical="center"/>
    </xf>
    <xf numFmtId="0" fontId="150" fillId="0" borderId="8" xfId="0" applyFont="1" applyFill="1" applyBorder="1" applyAlignment="1" applyProtection="1">
      <alignment horizontal="left" vertical="center"/>
    </xf>
    <xf numFmtId="0" fontId="166" fillId="7" borderId="27" xfId="0" applyFont="1" applyFill="1" applyBorder="1" applyAlignment="1" applyProtection="1">
      <alignment horizontal="left" vertical="center"/>
      <protection locked="0"/>
    </xf>
    <xf numFmtId="0" fontId="166" fillId="7" borderId="24" xfId="0" applyFont="1" applyFill="1" applyBorder="1" applyAlignment="1" applyProtection="1">
      <alignment horizontal="left" vertical="center"/>
      <protection locked="0"/>
    </xf>
    <xf numFmtId="0" fontId="166" fillId="7" borderId="22" xfId="0" applyFont="1" applyFill="1" applyBorder="1" applyAlignment="1" applyProtection="1">
      <alignment horizontal="left" vertical="center"/>
      <protection locked="0"/>
    </xf>
    <xf numFmtId="0" fontId="151" fillId="0" borderId="140" xfId="0" applyFont="1" applyFill="1" applyBorder="1" applyAlignment="1" applyProtection="1">
      <alignment horizontal="center" vertical="center" wrapText="1"/>
    </xf>
    <xf numFmtId="0" fontId="151" fillId="0" borderId="25" xfId="0" applyFont="1" applyFill="1" applyBorder="1" applyAlignment="1" applyProtection="1">
      <alignment horizontal="center" vertical="center" wrapText="1"/>
    </xf>
    <xf numFmtId="0" fontId="356" fillId="0" borderId="131" xfId="0" applyFont="1" applyFill="1" applyBorder="1" applyAlignment="1" applyProtection="1">
      <alignment horizontal="center" vertical="center" wrapText="1"/>
    </xf>
    <xf numFmtId="0" fontId="356" fillId="0" borderId="45" xfId="0" applyFont="1" applyFill="1" applyBorder="1" applyAlignment="1" applyProtection="1">
      <alignment horizontal="center" vertical="center" wrapText="1"/>
    </xf>
    <xf numFmtId="0" fontId="356" fillId="0" borderId="93" xfId="0" applyFont="1" applyFill="1" applyBorder="1" applyAlignment="1" applyProtection="1">
      <alignment horizontal="center" vertical="center" wrapText="1"/>
    </xf>
    <xf numFmtId="0" fontId="356" fillId="0" borderId="161" xfId="0" applyFont="1" applyFill="1" applyBorder="1" applyAlignment="1" applyProtection="1">
      <alignment horizontal="center" vertical="center" wrapText="1"/>
    </xf>
    <xf numFmtId="0" fontId="356" fillId="0" borderId="137" xfId="0" applyFont="1" applyFill="1" applyBorder="1" applyAlignment="1" applyProtection="1">
      <alignment horizontal="center" vertical="center" wrapText="1"/>
    </xf>
    <xf numFmtId="0" fontId="356" fillId="0" borderId="133" xfId="0" applyFont="1" applyFill="1" applyBorder="1" applyAlignment="1" applyProtection="1">
      <alignment horizontal="center" vertical="center" wrapText="1"/>
    </xf>
    <xf numFmtId="0" fontId="357" fillId="0" borderId="40" xfId="0" applyFont="1" applyFill="1" applyBorder="1" applyAlignment="1" applyProtection="1">
      <alignment vertical="center"/>
    </xf>
    <xf numFmtId="0" fontId="357" fillId="0" borderId="3" xfId="0" applyFont="1" applyFill="1" applyBorder="1" applyAlignment="1" applyProtection="1">
      <alignment vertical="center"/>
    </xf>
    <xf numFmtId="0" fontId="357" fillId="0" borderId="137" xfId="0" applyFont="1" applyFill="1" applyBorder="1" applyAlignment="1" applyProtection="1">
      <alignment vertical="center"/>
    </xf>
    <xf numFmtId="0" fontId="395" fillId="0" borderId="131" xfId="0" applyFont="1" applyFill="1" applyBorder="1" applyAlignment="1" applyProtection="1">
      <alignment horizontal="center" vertical="center" wrapText="1"/>
    </xf>
    <xf numFmtId="0" fontId="395" fillId="0" borderId="45" xfId="0" applyFont="1" applyFill="1" applyBorder="1" applyAlignment="1" applyProtection="1">
      <alignment horizontal="center" vertical="center" wrapText="1"/>
    </xf>
    <xf numFmtId="0" fontId="395" fillId="0" borderId="93" xfId="0" applyFont="1" applyFill="1" applyBorder="1" applyAlignment="1" applyProtection="1">
      <alignment horizontal="center" vertical="center" wrapText="1"/>
    </xf>
    <xf numFmtId="0" fontId="395" fillId="0" borderId="161" xfId="0" applyFont="1" applyFill="1" applyBorder="1" applyAlignment="1" applyProtection="1">
      <alignment horizontal="center" vertical="center" wrapText="1"/>
    </xf>
    <xf numFmtId="0" fontId="395" fillId="0" borderId="137" xfId="0" applyFont="1" applyFill="1" applyBorder="1" applyAlignment="1" applyProtection="1">
      <alignment horizontal="center" vertical="center" wrapText="1"/>
    </xf>
    <xf numFmtId="0" fontId="395" fillId="0" borderId="133" xfId="0" applyFont="1" applyFill="1" applyBorder="1" applyAlignment="1" applyProtection="1">
      <alignment horizontal="center" vertical="center" wrapText="1"/>
    </xf>
    <xf numFmtId="0" fontId="396" fillId="0" borderId="40" xfId="0" applyFont="1" applyFill="1" applyBorder="1" applyAlignment="1" applyProtection="1">
      <alignment vertical="center"/>
    </xf>
    <xf numFmtId="0" fontId="396" fillId="0" borderId="3" xfId="0" applyFont="1" applyFill="1" applyBorder="1" applyAlignment="1" applyProtection="1">
      <alignment vertical="center"/>
    </xf>
    <xf numFmtId="0" fontId="208" fillId="0" borderId="93" xfId="0" applyFont="1" applyFill="1" applyBorder="1" applyAlignment="1" applyProtection="1">
      <alignment horizontal="right" vertical="center" wrapText="1"/>
    </xf>
    <xf numFmtId="0" fontId="208" fillId="0" borderId="18" xfId="0" applyFont="1" applyFill="1" applyBorder="1" applyAlignment="1" applyProtection="1">
      <alignment horizontal="right" vertical="center" wrapText="1"/>
    </xf>
    <xf numFmtId="0" fontId="206" fillId="0" borderId="28" xfId="0" applyFont="1" applyFill="1" applyBorder="1" applyAlignment="1" applyProtection="1">
      <alignment horizontal="right" vertical="center" wrapText="1"/>
    </xf>
    <xf numFmtId="0" fontId="206" fillId="0" borderId="18" xfId="0" applyFont="1" applyFill="1" applyBorder="1" applyAlignment="1" applyProtection="1">
      <alignment horizontal="right" vertical="center" wrapText="1"/>
    </xf>
    <xf numFmtId="0" fontId="208" fillId="27" borderId="106" xfId="0" applyFont="1" applyFill="1" applyBorder="1" applyAlignment="1" applyProtection="1">
      <alignment horizontal="center" vertical="center"/>
      <protection locked="0"/>
    </xf>
    <xf numFmtId="0" fontId="208" fillId="27" borderId="84" xfId="0" applyFont="1" applyFill="1" applyBorder="1" applyAlignment="1" applyProtection="1">
      <alignment horizontal="center" vertical="center"/>
      <protection locked="0"/>
    </xf>
    <xf numFmtId="0" fontId="406" fillId="0" borderId="0" xfId="0" applyFont="1" applyAlignment="1">
      <alignment horizontal="center"/>
    </xf>
    <xf numFmtId="0" fontId="3" fillId="0" borderId="87" xfId="0" applyFont="1" applyBorder="1" applyAlignment="1" applyProtection="1">
      <alignment horizontal="center" vertical="center" textRotation="90"/>
    </xf>
    <xf numFmtId="0" fontId="3" fillId="0" borderId="122" xfId="0" applyFont="1" applyBorder="1" applyAlignment="1" applyProtection="1">
      <alignment horizontal="center" vertical="center" textRotation="90"/>
    </xf>
    <xf numFmtId="0" fontId="3" fillId="0" borderId="55" xfId="0" applyFont="1" applyBorder="1" applyAlignment="1" applyProtection="1">
      <alignment horizontal="center" vertical="center" textRotation="90"/>
    </xf>
    <xf numFmtId="0" fontId="12" fillId="24" borderId="171" xfId="0" applyFont="1" applyFill="1" applyBorder="1" applyAlignment="1" applyProtection="1">
      <alignment horizontal="center" vertical="center"/>
    </xf>
    <xf numFmtId="0" fontId="12" fillId="24" borderId="172" xfId="0" applyFont="1" applyFill="1" applyBorder="1" applyAlignment="1" applyProtection="1">
      <alignment horizontal="center" vertical="center"/>
    </xf>
    <xf numFmtId="0" fontId="12" fillId="24" borderId="44" xfId="0" applyFont="1" applyFill="1" applyBorder="1" applyAlignment="1" applyProtection="1">
      <alignment horizontal="center" vertical="center"/>
    </xf>
    <xf numFmtId="0" fontId="12" fillId="24" borderId="22" xfId="0" applyFont="1" applyFill="1" applyBorder="1" applyAlignment="1" applyProtection="1">
      <alignment horizontal="center" vertical="center"/>
    </xf>
    <xf numFmtId="175" fontId="0" fillId="0" borderId="0" xfId="0" applyNumberFormat="1" applyAlignment="1" applyProtection="1">
      <alignment horizontal="left" vertical="center"/>
    </xf>
    <xf numFmtId="0" fontId="54" fillId="0" borderId="21" xfId="0" applyFont="1" applyFill="1" applyBorder="1" applyAlignment="1" applyProtection="1">
      <alignment vertical="center" wrapText="1"/>
    </xf>
    <xf numFmtId="0" fontId="54" fillId="0" borderId="3" xfId="0" applyFont="1" applyFill="1" applyBorder="1" applyAlignment="1" applyProtection="1">
      <alignment vertical="center" wrapText="1"/>
    </xf>
    <xf numFmtId="0" fontId="54" fillId="0" borderId="36" xfId="0" applyFont="1" applyFill="1" applyBorder="1" applyAlignment="1" applyProtection="1">
      <alignment vertical="center" wrapText="1"/>
    </xf>
    <xf numFmtId="0" fontId="47" fillId="0" borderId="38" xfId="0" applyFont="1" applyBorder="1" applyAlignment="1" applyProtection="1">
      <alignment vertical="center"/>
    </xf>
    <xf numFmtId="0" fontId="47" fillId="0" borderId="66" xfId="0" applyFont="1" applyBorder="1" applyAlignment="1" applyProtection="1">
      <alignment vertical="center"/>
    </xf>
    <xf numFmtId="0" fontId="47" fillId="0" borderId="127" xfId="0" applyFont="1" applyBorder="1" applyAlignment="1" applyProtection="1">
      <alignment vertical="center"/>
    </xf>
    <xf numFmtId="0" fontId="54" fillId="0" borderId="62" xfId="0" applyFont="1" applyFill="1" applyBorder="1" applyAlignment="1" applyProtection="1">
      <alignment vertical="center" wrapText="1"/>
    </xf>
    <xf numFmtId="0" fontId="54" fillId="0" borderId="114" xfId="0" applyFont="1" applyFill="1" applyBorder="1" applyAlignment="1" applyProtection="1">
      <alignment vertical="center" wrapText="1"/>
    </xf>
    <xf numFmtId="0" fontId="54" fillId="0" borderId="119" xfId="0" applyFont="1" applyFill="1" applyBorder="1" applyAlignment="1" applyProtection="1">
      <alignment vertical="center" wrapText="1"/>
    </xf>
    <xf numFmtId="0" fontId="54" fillId="0" borderId="14" xfId="0" applyFont="1" applyFill="1" applyBorder="1" applyAlignment="1" applyProtection="1">
      <alignment vertical="center" wrapText="1"/>
    </xf>
    <xf numFmtId="0" fontId="54" fillId="0" borderId="16" xfId="0" applyFont="1" applyFill="1" applyBorder="1" applyAlignment="1" applyProtection="1">
      <alignment vertical="center" wrapText="1"/>
    </xf>
    <xf numFmtId="0" fontId="54" fillId="0" borderId="32"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95" xfId="0" applyFont="1" applyFill="1" applyBorder="1" applyAlignment="1" applyProtection="1">
      <alignment vertical="center" wrapText="1"/>
    </xf>
    <xf numFmtId="0" fontId="28" fillId="4" borderId="45" xfId="0" applyFont="1" applyFill="1" applyBorder="1" applyAlignment="1" applyProtection="1">
      <alignment horizontal="center" vertical="center" wrapText="1"/>
    </xf>
    <xf numFmtId="0" fontId="28" fillId="4" borderId="24" xfId="0" applyFont="1" applyFill="1" applyBorder="1" applyAlignment="1" applyProtection="1">
      <alignment horizontal="center" vertical="center" wrapText="1"/>
    </xf>
    <xf numFmtId="0" fontId="6" fillId="7" borderId="161" xfId="0" applyNumberFormat="1" applyFont="1" applyFill="1" applyBorder="1" applyAlignment="1" applyProtection="1">
      <alignment horizontal="center" vertical="center" wrapText="1"/>
      <protection locked="0"/>
    </xf>
    <xf numFmtId="0" fontId="6" fillId="7" borderId="133" xfId="0" applyNumberFormat="1" applyFont="1" applyFill="1" applyBorder="1" applyAlignment="1" applyProtection="1">
      <alignment horizontal="center" vertical="center" wrapText="1"/>
      <protection locked="0"/>
    </xf>
    <xf numFmtId="0" fontId="6" fillId="7" borderId="54" xfId="0" applyNumberFormat="1" applyFont="1" applyFill="1" applyBorder="1" applyAlignment="1" applyProtection="1">
      <alignment horizontal="center" vertical="center" wrapText="1"/>
      <protection locked="0"/>
    </xf>
    <xf numFmtId="0" fontId="6" fillId="7" borderId="34" xfId="0" applyNumberFormat="1" applyFont="1" applyFill="1" applyBorder="1" applyAlignment="1" applyProtection="1">
      <alignment horizontal="center" vertical="center" wrapText="1"/>
      <protection locked="0"/>
    </xf>
    <xf numFmtId="0" fontId="9" fillId="0" borderId="123" xfId="0" applyFont="1" applyFill="1" applyBorder="1" applyAlignment="1" applyProtection="1">
      <alignment horizontal="left" vertical="center" wrapText="1"/>
    </xf>
    <xf numFmtId="0" fontId="9" fillId="0" borderId="129" xfId="0" applyFont="1" applyFill="1" applyBorder="1" applyAlignment="1" applyProtection="1">
      <alignment horizontal="left" vertical="center" wrapText="1"/>
    </xf>
    <xf numFmtId="0" fontId="9" fillId="4" borderId="155" xfId="0" applyFont="1" applyFill="1" applyBorder="1" applyAlignment="1" applyProtection="1">
      <alignment horizontal="center" vertical="center" wrapText="1"/>
    </xf>
    <xf numFmtId="0" fontId="9" fillId="4" borderId="156"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protection locked="0"/>
    </xf>
    <xf numFmtId="0" fontId="6" fillId="7" borderId="34" xfId="0" applyFont="1" applyFill="1" applyBorder="1" applyAlignment="1" applyProtection="1">
      <alignment horizontal="center" vertical="center" wrapText="1"/>
      <protection locked="0"/>
    </xf>
    <xf numFmtId="0" fontId="6" fillId="7" borderId="38" xfId="0" applyFont="1" applyFill="1" applyBorder="1" applyAlignment="1" applyProtection="1">
      <alignment horizontal="center" vertical="center" wrapText="1"/>
      <protection locked="0"/>
    </xf>
    <xf numFmtId="0" fontId="6" fillId="7" borderId="127" xfId="0" applyFont="1" applyFill="1" applyBorder="1" applyAlignment="1" applyProtection="1">
      <alignment horizontal="center" vertical="center" wrapText="1"/>
      <protection locked="0"/>
    </xf>
    <xf numFmtId="0" fontId="16" fillId="0" borderId="136" xfId="0" applyFont="1" applyBorder="1" applyAlignment="1" applyProtection="1">
      <alignment horizontal="center" vertical="center" wrapText="1"/>
    </xf>
    <xf numFmtId="0" fontId="16" fillId="0" borderId="140"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4" fillId="3" borderId="125" xfId="0" applyNumberFormat="1" applyFont="1" applyFill="1" applyBorder="1" applyAlignment="1" applyProtection="1">
      <alignment horizontal="center" vertical="center" wrapText="1"/>
    </xf>
    <xf numFmtId="0" fontId="14" fillId="3" borderId="126" xfId="0" applyNumberFormat="1" applyFont="1" applyFill="1" applyBorder="1" applyAlignment="1" applyProtection="1">
      <alignment horizontal="center" vertical="center" wrapText="1"/>
    </xf>
    <xf numFmtId="0" fontId="14" fillId="3" borderId="148" xfId="0" applyNumberFormat="1" applyFont="1" applyFill="1" applyBorder="1" applyAlignment="1" applyProtection="1">
      <alignment horizontal="center" vertical="center" wrapText="1"/>
    </xf>
    <xf numFmtId="0" fontId="14" fillId="3" borderId="150" xfId="0" applyNumberFormat="1" applyFont="1" applyFill="1" applyBorder="1" applyAlignment="1" applyProtection="1">
      <alignment horizontal="center" vertical="center" wrapText="1"/>
    </xf>
    <xf numFmtId="0" fontId="280" fillId="7" borderId="54" xfId="0" applyNumberFormat="1" applyFont="1" applyFill="1" applyBorder="1" applyAlignment="1" applyProtection="1">
      <alignment horizontal="center" vertical="center" wrapText="1"/>
      <protection locked="0"/>
    </xf>
    <xf numFmtId="0" fontId="280" fillId="7" borderId="13" xfId="0" applyNumberFormat="1" applyFont="1" applyFill="1" applyBorder="1" applyAlignment="1" applyProtection="1">
      <alignment horizontal="center" vertical="center" wrapText="1"/>
      <protection locked="0"/>
    </xf>
    <xf numFmtId="0" fontId="280" fillId="7" borderId="14" xfId="0" applyFont="1" applyFill="1" applyBorder="1" applyAlignment="1" applyProtection="1">
      <alignment horizontal="center" vertical="center" wrapText="1"/>
      <protection locked="0"/>
    </xf>
    <xf numFmtId="0" fontId="280" fillId="7" borderId="32" xfId="0" applyFont="1" applyFill="1" applyBorder="1" applyAlignment="1" applyProtection="1">
      <alignment horizontal="center" vertical="center" wrapText="1"/>
      <protection locked="0"/>
    </xf>
    <xf numFmtId="0" fontId="9" fillId="24" borderId="131" xfId="0" applyFont="1" applyFill="1" applyBorder="1" applyAlignment="1" applyProtection="1">
      <alignment vertical="center" wrapText="1"/>
    </xf>
    <xf numFmtId="0" fontId="9" fillId="24" borderId="45" xfId="0" applyFont="1" applyFill="1" applyBorder="1" applyAlignment="1" applyProtection="1">
      <alignment vertical="center" wrapText="1"/>
    </xf>
    <xf numFmtId="0" fontId="9" fillId="24" borderId="93" xfId="0" applyFont="1" applyFill="1" applyBorder="1" applyAlignment="1" applyProtection="1">
      <alignment vertical="center" wrapText="1"/>
    </xf>
    <xf numFmtId="0" fontId="9" fillId="24" borderId="51" xfId="0" applyFont="1" applyFill="1" applyBorder="1" applyAlignment="1" applyProtection="1">
      <alignment vertical="center" wrapText="1"/>
    </xf>
    <xf numFmtId="0" fontId="9" fillId="24" borderId="0" xfId="0" applyFont="1" applyFill="1" applyBorder="1" applyAlignment="1" applyProtection="1">
      <alignment vertical="center" wrapText="1"/>
    </xf>
    <xf numFmtId="0" fontId="9" fillId="24" borderId="28" xfId="0" applyFont="1" applyFill="1" applyBorder="1" applyAlignment="1" applyProtection="1">
      <alignment vertical="center" wrapText="1"/>
    </xf>
    <xf numFmtId="0" fontId="9" fillId="24" borderId="44" xfId="0" applyFont="1" applyFill="1" applyBorder="1" applyAlignment="1" applyProtection="1">
      <alignment vertical="center" wrapText="1"/>
    </xf>
    <xf numFmtId="0" fontId="9" fillId="24" borderId="24" xfId="0" applyFont="1" applyFill="1" applyBorder="1" applyAlignment="1" applyProtection="1">
      <alignment vertical="center" wrapText="1"/>
    </xf>
    <xf numFmtId="0" fontId="9" fillId="24" borderId="22" xfId="0" applyFont="1" applyFill="1" applyBorder="1" applyAlignment="1" applyProtection="1">
      <alignment vertical="center" wrapText="1"/>
    </xf>
    <xf numFmtId="0" fontId="70" fillId="7" borderId="131" xfId="0" applyFont="1" applyFill="1" applyBorder="1" applyAlignment="1" applyProtection="1">
      <alignment horizontal="left" vertical="center"/>
      <protection locked="0"/>
    </xf>
    <xf numFmtId="0" fontId="70" fillId="7" borderId="93" xfId="0" applyFont="1" applyFill="1" applyBorder="1" applyAlignment="1" applyProtection="1">
      <alignment horizontal="left" vertical="center"/>
      <protection locked="0"/>
    </xf>
    <xf numFmtId="0" fontId="70" fillId="7" borderId="43" xfId="0" applyFont="1" applyFill="1" applyBorder="1" applyAlignment="1" applyProtection="1">
      <alignment horizontal="left" vertical="center"/>
      <protection locked="0"/>
    </xf>
    <xf numFmtId="0" fontId="70" fillId="7" borderId="18" xfId="0" applyFont="1" applyFill="1" applyBorder="1" applyAlignment="1" applyProtection="1">
      <alignment horizontal="left" vertical="center"/>
      <protection locked="0"/>
    </xf>
    <xf numFmtId="0" fontId="9" fillId="0" borderId="40"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31" fillId="0" borderId="0" xfId="0" applyFont="1" applyFill="1" applyBorder="1" applyAlignment="1" applyProtection="1">
      <alignment horizontal="center"/>
    </xf>
    <xf numFmtId="0" fontId="0" fillId="0" borderId="0" xfId="0" applyFill="1" applyBorder="1" applyAlignment="1" applyProtection="1">
      <alignment horizontal="left" vertical="center" wrapText="1" indent="1"/>
    </xf>
    <xf numFmtId="0" fontId="133" fillId="0" borderId="0" xfId="0" applyFont="1" applyFill="1" applyBorder="1" applyAlignment="1" applyProtection="1">
      <alignment horizontal="center"/>
    </xf>
    <xf numFmtId="0" fontId="6" fillId="7" borderId="7" xfId="0" applyFont="1" applyFill="1" applyBorder="1" applyAlignment="1" applyProtection="1">
      <alignment horizontal="center" vertical="center" wrapText="1"/>
      <protection locked="0"/>
    </xf>
    <xf numFmtId="0" fontId="13" fillId="3" borderId="159" xfId="0" applyFont="1" applyFill="1" applyBorder="1" applyAlignment="1" applyProtection="1">
      <alignment horizontal="center" vertical="center" wrapText="1"/>
    </xf>
    <xf numFmtId="0" fontId="2" fillId="3" borderId="157" xfId="0" applyNumberFormat="1" applyFont="1" applyFill="1" applyBorder="1" applyAlignment="1" applyProtection="1">
      <alignment horizontal="center" vertical="center" wrapText="1"/>
    </xf>
    <xf numFmtId="0" fontId="2" fillId="3" borderId="126" xfId="0" applyNumberFormat="1" applyFont="1" applyFill="1" applyBorder="1" applyAlignment="1" applyProtection="1">
      <alignment horizontal="center" vertical="center" wrapText="1"/>
    </xf>
    <xf numFmtId="0" fontId="6" fillId="7" borderId="10" xfId="0" applyNumberFormat="1" applyFont="1" applyFill="1" applyBorder="1" applyAlignment="1" applyProtection="1">
      <alignment horizontal="center" vertical="center" wrapText="1"/>
      <protection locked="0"/>
    </xf>
    <xf numFmtId="0" fontId="6" fillId="7" borderId="12" xfId="0" applyNumberFormat="1"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9" fillId="4" borderId="24" xfId="0" applyNumberFormat="1" applyFont="1" applyFill="1" applyBorder="1" applyAlignment="1" applyProtection="1">
      <alignment horizontal="center" vertical="center" wrapText="1"/>
    </xf>
    <xf numFmtId="0" fontId="9" fillId="4" borderId="35" xfId="0" applyNumberFormat="1" applyFont="1" applyFill="1" applyBorder="1" applyAlignment="1" applyProtection="1">
      <alignment horizontal="center" vertical="center" wrapText="1"/>
    </xf>
    <xf numFmtId="0" fontId="2" fillId="3" borderId="154" xfId="0" applyNumberFormat="1" applyFont="1" applyFill="1" applyBorder="1" applyAlignment="1" applyProtection="1">
      <alignment horizontal="center" vertical="center" wrapText="1"/>
    </xf>
    <xf numFmtId="0" fontId="13" fillId="3" borderId="125" xfId="0" applyFont="1" applyFill="1" applyBorder="1" applyAlignment="1" applyProtection="1">
      <alignment vertical="center" wrapText="1"/>
    </xf>
    <xf numFmtId="0" fontId="13" fillId="3" borderId="150" xfId="0" applyFont="1" applyFill="1" applyBorder="1" applyAlignment="1" applyProtection="1">
      <alignment vertical="center" wrapText="1"/>
    </xf>
    <xf numFmtId="0" fontId="13" fillId="3" borderId="160" xfId="0" applyFont="1" applyFill="1" applyBorder="1" applyAlignment="1" applyProtection="1">
      <alignment horizontal="center" vertical="center" wrapText="1"/>
    </xf>
    <xf numFmtId="0" fontId="9" fillId="0" borderId="164" xfId="0" applyFont="1" applyFill="1" applyBorder="1" applyAlignment="1" applyProtection="1">
      <alignment vertical="center" wrapText="1"/>
    </xf>
    <xf numFmtId="0" fontId="9" fillId="0" borderId="112" xfId="0" applyFont="1" applyFill="1" applyBorder="1" applyAlignment="1" applyProtection="1">
      <alignment vertical="center" wrapText="1"/>
    </xf>
    <xf numFmtId="0" fontId="9" fillId="0" borderId="165" xfId="0" applyFont="1" applyFill="1" applyBorder="1" applyAlignment="1" applyProtection="1">
      <alignment vertical="center" wrapText="1"/>
    </xf>
    <xf numFmtId="0" fontId="6" fillId="7" borderId="21"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9" fillId="0" borderId="9" xfId="0" applyFont="1" applyBorder="1" applyAlignment="1" applyProtection="1">
      <alignment vertical="center" wrapText="1"/>
    </xf>
    <xf numFmtId="0" fontId="9" fillId="0" borderId="8" xfId="0" applyFont="1" applyBorder="1" applyAlignment="1" applyProtection="1">
      <alignment vertical="center" wrapText="1"/>
    </xf>
    <xf numFmtId="0" fontId="9" fillId="0" borderId="23" xfId="0" applyFont="1" applyBorder="1" applyAlignment="1" applyProtection="1">
      <alignment vertical="center" wrapText="1"/>
    </xf>
    <xf numFmtId="0" fontId="9" fillId="0" borderId="110" xfId="0" applyFont="1" applyFill="1" applyBorder="1" applyAlignment="1" applyProtection="1">
      <alignment vertical="center" wrapText="1"/>
    </xf>
    <xf numFmtId="0" fontId="9" fillId="0" borderId="73" xfId="0" applyFont="1" applyFill="1" applyBorder="1" applyAlignment="1" applyProtection="1">
      <alignment vertical="center" wrapText="1"/>
    </xf>
    <xf numFmtId="0" fontId="9" fillId="0" borderId="74" xfId="0" applyFont="1" applyFill="1" applyBorder="1" applyAlignment="1" applyProtection="1">
      <alignment vertical="center" wrapText="1"/>
    </xf>
    <xf numFmtId="0" fontId="6" fillId="7" borderId="136" xfId="0" applyNumberFormat="1" applyFont="1" applyFill="1" applyBorder="1" applyAlignment="1" applyProtection="1">
      <alignment horizontal="center" vertical="center" wrapText="1"/>
      <protection locked="0"/>
    </xf>
    <xf numFmtId="0" fontId="6" fillId="7" borderId="140" xfId="0" applyNumberFormat="1" applyFont="1" applyFill="1" applyBorder="1" applyAlignment="1" applyProtection="1">
      <alignment horizontal="center" vertical="center" wrapText="1"/>
      <protection locked="0"/>
    </xf>
    <xf numFmtId="0" fontId="6" fillId="7" borderId="14" xfId="0" applyNumberFormat="1" applyFont="1" applyFill="1" applyBorder="1" applyAlignment="1" applyProtection="1">
      <alignment horizontal="center" vertical="center" wrapText="1"/>
      <protection locked="0"/>
    </xf>
    <xf numFmtId="0" fontId="6" fillId="7" borderId="6" xfId="0" applyNumberFormat="1" applyFont="1" applyFill="1" applyBorder="1" applyAlignment="1" applyProtection="1">
      <alignment horizontal="center" vertical="center" wrapText="1"/>
      <protection locked="0"/>
    </xf>
    <xf numFmtId="0" fontId="6" fillId="7" borderId="112" xfId="0" applyNumberFormat="1" applyFont="1" applyFill="1" applyBorder="1" applyAlignment="1" applyProtection="1">
      <alignment horizontal="center" vertical="center" wrapText="1"/>
      <protection locked="0"/>
    </xf>
    <xf numFmtId="0" fontId="6" fillId="7" borderId="83" xfId="0" applyNumberFormat="1" applyFont="1" applyFill="1" applyBorder="1" applyAlignment="1" applyProtection="1">
      <alignment horizontal="center" vertical="center" wrapText="1"/>
      <protection locked="0"/>
    </xf>
    <xf numFmtId="0" fontId="3" fillId="24" borderId="146" xfId="0" applyFont="1" applyFill="1" applyBorder="1" applyAlignment="1" applyProtection="1">
      <alignment horizontal="center" vertical="center" wrapText="1"/>
    </xf>
    <xf numFmtId="0" fontId="33" fillId="24" borderId="85" xfId="0" applyFont="1" applyFill="1" applyBorder="1" applyAlignment="1" applyProtection="1">
      <alignment horizontal="center" vertical="center" wrapText="1"/>
    </xf>
    <xf numFmtId="0" fontId="3" fillId="2" borderId="0" xfId="0" applyFont="1" applyFill="1" applyBorder="1" applyAlignment="1" applyProtection="1">
      <alignment horizontal="left"/>
    </xf>
    <xf numFmtId="0" fontId="15" fillId="2" borderId="0" xfId="0" applyFont="1" applyFill="1" applyBorder="1" applyAlignment="1" applyProtection="1">
      <alignment horizontal="left"/>
    </xf>
    <xf numFmtId="0" fontId="69" fillId="7" borderId="40" xfId="0" applyFont="1" applyFill="1" applyBorder="1" applyAlignment="1" applyProtection="1">
      <alignment horizontal="center" vertical="center" wrapText="1"/>
      <protection locked="0"/>
    </xf>
    <xf numFmtId="0" fontId="69" fillId="7" borderId="3" xfId="0" applyFont="1" applyFill="1" applyBorder="1" applyAlignment="1" applyProtection="1">
      <alignment horizontal="center" vertical="center" wrapText="1"/>
      <protection locked="0"/>
    </xf>
    <xf numFmtId="0" fontId="69" fillId="7" borderId="19" xfId="0" applyFont="1" applyFill="1" applyBorder="1" applyAlignment="1" applyProtection="1">
      <alignment horizontal="center" vertical="center" wrapText="1"/>
      <protection locked="0"/>
    </xf>
    <xf numFmtId="0" fontId="69" fillId="7" borderId="42" xfId="0" applyFont="1" applyFill="1" applyBorder="1" applyAlignment="1" applyProtection="1">
      <alignment horizontal="center" vertical="center" wrapText="1"/>
      <protection locked="0"/>
    </xf>
    <xf numFmtId="0" fontId="69" fillId="7" borderId="8" xfId="0" applyFont="1" applyFill="1" applyBorder="1" applyAlignment="1" applyProtection="1">
      <alignment horizontal="center" vertical="center" wrapText="1"/>
      <protection locked="0"/>
    </xf>
    <xf numFmtId="0" fontId="69" fillId="7" borderId="11" xfId="0"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xf>
    <xf numFmtId="49" fontId="9" fillId="2" borderId="23" xfId="0" applyNumberFormat="1" applyFont="1" applyFill="1" applyBorder="1" applyAlignment="1" applyProtection="1">
      <alignment horizontal="center"/>
    </xf>
    <xf numFmtId="49" fontId="9" fillId="2" borderId="5" xfId="0" applyNumberFormat="1" applyFont="1" applyFill="1" applyBorder="1" applyAlignment="1" applyProtection="1">
      <alignment horizontal="center"/>
    </xf>
    <xf numFmtId="49" fontId="9" fillId="2" borderId="13" xfId="0" applyNumberFormat="1" applyFont="1" applyFill="1" applyBorder="1" applyAlignment="1" applyProtection="1">
      <alignment horizontal="center"/>
    </xf>
    <xf numFmtId="49" fontId="9" fillId="2" borderId="43" xfId="0" applyNumberFormat="1" applyFont="1" applyFill="1" applyBorder="1" applyAlignment="1" applyProtection="1">
      <alignment horizontal="center"/>
    </xf>
    <xf numFmtId="49" fontId="9" fillId="2" borderId="6" xfId="0" applyNumberFormat="1" applyFont="1" applyFill="1" applyBorder="1" applyAlignment="1" applyProtection="1">
      <alignment horizontal="center"/>
    </xf>
    <xf numFmtId="0" fontId="9" fillId="4" borderId="171" xfId="0" applyFont="1" applyFill="1" applyBorder="1" applyAlignment="1" applyProtection="1">
      <alignment horizontal="left" vertical="center" wrapText="1"/>
    </xf>
    <xf numFmtId="0" fontId="9" fillId="4" borderId="172" xfId="0" applyFont="1" applyFill="1" applyBorder="1" applyAlignment="1" applyProtection="1">
      <alignment horizontal="left" vertical="center" wrapText="1"/>
    </xf>
    <xf numFmtId="0" fontId="9" fillId="4" borderId="44" xfId="0" applyFont="1" applyFill="1" applyBorder="1" applyAlignment="1" applyProtection="1">
      <alignment horizontal="left" vertical="center" wrapText="1"/>
    </xf>
    <xf numFmtId="0" fontId="9" fillId="4" borderId="22" xfId="0" applyFont="1" applyFill="1" applyBorder="1" applyAlignment="1" applyProtection="1">
      <alignment horizontal="left" vertical="center" wrapText="1"/>
    </xf>
    <xf numFmtId="0" fontId="9" fillId="6" borderId="51" xfId="0" applyFont="1" applyFill="1" applyBorder="1" applyAlignment="1" applyProtection="1">
      <alignment horizontal="center" vertical="center" wrapText="1"/>
    </xf>
    <xf numFmtId="0" fontId="9" fillId="6" borderId="46" xfId="0" applyFont="1" applyFill="1" applyBorder="1" applyAlignment="1" applyProtection="1">
      <alignment horizontal="center" vertical="center" wrapText="1"/>
    </xf>
    <xf numFmtId="0" fontId="9" fillId="6" borderId="44" xfId="0" applyFont="1" applyFill="1" applyBorder="1" applyAlignment="1" applyProtection="1">
      <alignment horizontal="center" vertical="center" wrapText="1"/>
    </xf>
    <xf numFmtId="0" fontId="9" fillId="6" borderId="25" xfId="0" applyFont="1" applyFill="1" applyBorder="1" applyAlignment="1" applyProtection="1">
      <alignment horizontal="center" vertical="center" wrapText="1"/>
    </xf>
    <xf numFmtId="0" fontId="70" fillId="0" borderId="43" xfId="0" applyFont="1" applyBorder="1" applyAlignment="1" applyProtection="1">
      <alignment horizontal="center" vertical="center"/>
      <protection locked="0"/>
    </xf>
    <xf numFmtId="0" fontId="70" fillId="0" borderId="6"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9" fillId="6" borderId="48" xfId="0" applyNumberFormat="1" applyFont="1" applyFill="1" applyBorder="1" applyAlignment="1" applyProtection="1">
      <alignment horizontal="center" vertical="center" wrapText="1"/>
    </xf>
    <xf numFmtId="0" fontId="9" fillId="6" borderId="46" xfId="0" applyNumberFormat="1" applyFont="1" applyFill="1" applyBorder="1" applyAlignment="1" applyProtection="1">
      <alignment horizontal="center" vertical="center" wrapText="1"/>
    </xf>
    <xf numFmtId="0" fontId="9" fillId="6" borderId="27" xfId="0" applyNumberFormat="1" applyFont="1" applyFill="1" applyBorder="1" applyAlignment="1" applyProtection="1">
      <alignment horizontal="center" vertical="center" wrapText="1"/>
    </xf>
    <xf numFmtId="0" fontId="9" fillId="6" borderId="25" xfId="0" applyNumberFormat="1" applyFont="1" applyFill="1" applyBorder="1" applyAlignment="1" applyProtection="1">
      <alignment horizontal="center" vertical="center" wrapText="1"/>
    </xf>
    <xf numFmtId="0" fontId="70" fillId="0" borderId="21"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70" fillId="0" borderId="4" xfId="0" applyFont="1" applyBorder="1" applyAlignment="1" applyProtection="1">
      <alignment horizontal="center" vertical="center"/>
      <protection locked="0"/>
    </xf>
    <xf numFmtId="0" fontId="70" fillId="0" borderId="22" xfId="0" applyFont="1" applyBorder="1" applyAlignment="1" applyProtection="1">
      <alignment horizontal="center" vertical="center"/>
      <protection locked="0"/>
    </xf>
    <xf numFmtId="0" fontId="9" fillId="6" borderId="28" xfId="0" applyNumberFormat="1" applyFont="1" applyFill="1" applyBorder="1" applyAlignment="1" applyProtection="1">
      <alignment horizontal="center" vertical="center" wrapText="1"/>
    </xf>
    <xf numFmtId="0" fontId="9" fillId="6" borderId="22" xfId="0" applyNumberFormat="1" applyFont="1" applyFill="1" applyBorder="1" applyAlignment="1" applyProtection="1">
      <alignment horizontal="center" vertical="center" wrapText="1"/>
    </xf>
    <xf numFmtId="0" fontId="268" fillId="24" borderId="136" xfId="0" applyFont="1" applyFill="1" applyBorder="1" applyAlignment="1" applyProtection="1">
      <alignment horizontal="center" vertical="center" wrapText="1"/>
    </xf>
    <xf numFmtId="0" fontId="268" fillId="24" borderId="45" xfId="0" applyFont="1" applyFill="1" applyBorder="1" applyAlignment="1" applyProtection="1">
      <alignment horizontal="center" vertical="center" wrapText="1"/>
    </xf>
    <xf numFmtId="0" fontId="268" fillId="24" borderId="140" xfId="0" applyFont="1" applyFill="1" applyBorder="1" applyAlignment="1" applyProtection="1">
      <alignment horizontal="center" vertical="center" wrapText="1"/>
    </xf>
    <xf numFmtId="0" fontId="81" fillId="24" borderId="131" xfId="0" applyFont="1" applyFill="1" applyBorder="1" applyAlignment="1" applyProtection="1">
      <alignment horizontal="center" vertical="center" wrapText="1"/>
    </xf>
    <xf numFmtId="0" fontId="81" fillId="24" borderId="45" xfId="0" applyFont="1" applyFill="1" applyBorder="1" applyAlignment="1" applyProtection="1">
      <alignment horizontal="center" vertical="center" wrapText="1"/>
    </xf>
    <xf numFmtId="0" fontId="81" fillId="24" borderId="93" xfId="0" applyFont="1" applyFill="1" applyBorder="1" applyAlignment="1" applyProtection="1">
      <alignment horizontal="center" vertical="center" wrapText="1"/>
    </xf>
    <xf numFmtId="0" fontId="81" fillId="24" borderId="44" xfId="0" applyFont="1" applyFill="1" applyBorder="1" applyAlignment="1" applyProtection="1">
      <alignment horizontal="center" vertical="center" wrapText="1"/>
    </xf>
    <xf numFmtId="0" fontId="81" fillId="24" borderId="24" xfId="0" applyFont="1" applyFill="1" applyBorder="1" applyAlignment="1" applyProtection="1">
      <alignment horizontal="center" vertical="center" wrapText="1"/>
    </xf>
    <xf numFmtId="0" fontId="81" fillId="24" borderId="22" xfId="0" applyFont="1" applyFill="1" applyBorder="1" applyAlignment="1" applyProtection="1">
      <alignment horizontal="center" vertical="center" wrapText="1"/>
    </xf>
    <xf numFmtId="0" fontId="9" fillId="24" borderId="51" xfId="0" applyFont="1" applyFill="1" applyBorder="1" applyAlignment="1" applyProtection="1">
      <alignment horizontal="center" wrapText="1"/>
    </xf>
    <xf numFmtId="0" fontId="9" fillId="24" borderId="0" xfId="0" applyFont="1" applyFill="1" applyBorder="1" applyAlignment="1" applyProtection="1">
      <alignment horizontal="center" wrapText="1"/>
    </xf>
    <xf numFmtId="0" fontId="9" fillId="24" borderId="28" xfId="0" applyFont="1" applyFill="1" applyBorder="1" applyAlignment="1" applyProtection="1">
      <alignment horizontal="center" wrapText="1"/>
    </xf>
    <xf numFmtId="0" fontId="9" fillId="6" borderId="43" xfId="0" applyFont="1" applyFill="1" applyBorder="1" applyAlignment="1" applyProtection="1">
      <alignment horizontal="center" vertical="center"/>
    </xf>
    <xf numFmtId="0" fontId="9" fillId="6" borderId="16" xfId="0" applyFont="1" applyFill="1" applyBorder="1" applyAlignment="1" applyProtection="1">
      <alignment horizontal="center" vertical="center"/>
    </xf>
    <xf numFmtId="0" fontId="9" fillId="6" borderId="18" xfId="0" applyFont="1" applyFill="1" applyBorder="1" applyAlignment="1" applyProtection="1">
      <alignment horizontal="center" vertical="center"/>
    </xf>
    <xf numFmtId="0" fontId="120" fillId="24" borderId="9" xfId="0" applyFont="1" applyFill="1" applyBorder="1" applyAlignment="1" applyProtection="1">
      <alignment horizontal="center" vertical="center" wrapText="1"/>
    </xf>
    <xf numFmtId="0" fontId="120" fillId="24" borderId="8" xfId="0" applyFont="1" applyFill="1" applyBorder="1" applyAlignment="1" applyProtection="1">
      <alignment horizontal="center" vertical="center" wrapText="1"/>
    </xf>
    <xf numFmtId="0" fontId="120" fillId="24" borderId="11" xfId="0" applyFont="1" applyFill="1" applyBorder="1" applyAlignment="1" applyProtection="1">
      <alignment horizontal="center" vertical="center" wrapText="1"/>
    </xf>
    <xf numFmtId="49" fontId="72" fillId="24" borderId="21" xfId="0" applyNumberFormat="1" applyFont="1" applyFill="1" applyBorder="1" applyAlignment="1" applyProtection="1">
      <alignment horizontal="center" vertical="center"/>
    </xf>
    <xf numFmtId="49" fontId="72" fillId="24" borderId="4" xfId="0" applyNumberFormat="1" applyFont="1" applyFill="1" applyBorder="1" applyAlignment="1" applyProtection="1">
      <alignment horizontal="center" vertical="center"/>
    </xf>
    <xf numFmtId="49" fontId="72" fillId="0" borderId="27" xfId="0" applyNumberFormat="1" applyFont="1" applyFill="1" applyBorder="1" applyAlignment="1" applyProtection="1">
      <alignment horizontal="center" vertical="center"/>
    </xf>
    <xf numFmtId="49" fontId="72" fillId="0" borderId="22" xfId="0" applyNumberFormat="1" applyFont="1" applyFill="1" applyBorder="1" applyAlignment="1" applyProtection="1">
      <alignment horizontal="center" vertical="center"/>
    </xf>
    <xf numFmtId="0" fontId="2" fillId="24" borderId="40" xfId="0" applyFont="1" applyFill="1" applyBorder="1" applyAlignment="1" applyProtection="1">
      <alignment horizontal="center" vertical="center"/>
    </xf>
    <xf numFmtId="0" fontId="2" fillId="24" borderId="3" xfId="0" applyFont="1" applyFill="1" applyBorder="1" applyAlignment="1" applyProtection="1">
      <alignment horizontal="center" vertical="center"/>
    </xf>
    <xf numFmtId="0" fontId="2" fillId="24" borderId="4" xfId="0" applyFont="1" applyFill="1" applyBorder="1" applyAlignment="1" applyProtection="1">
      <alignment horizontal="center" vertical="center"/>
    </xf>
    <xf numFmtId="0" fontId="9" fillId="24" borderId="9" xfId="0" applyFont="1" applyFill="1" applyBorder="1" applyAlignment="1" applyProtection="1">
      <alignment horizontal="center" vertical="center"/>
    </xf>
    <xf numFmtId="0" fontId="9" fillId="24" borderId="8" xfId="0" applyFont="1" applyFill="1" applyBorder="1" applyAlignment="1" applyProtection="1">
      <alignment horizontal="center" vertical="center"/>
    </xf>
    <xf numFmtId="0" fontId="9" fillId="24" borderId="23" xfId="0" applyFont="1" applyFill="1" applyBorder="1" applyAlignment="1" applyProtection="1">
      <alignment horizontal="center" vertical="center"/>
    </xf>
    <xf numFmtId="0" fontId="81" fillId="24" borderId="131" xfId="0" applyFont="1" applyFill="1" applyBorder="1" applyAlignment="1" applyProtection="1">
      <alignment horizontal="center" vertical="center"/>
    </xf>
    <xf numFmtId="0" fontId="81" fillId="24" borderId="45" xfId="0" applyFont="1" applyFill="1" applyBorder="1" applyAlignment="1" applyProtection="1">
      <alignment horizontal="center" vertical="center"/>
    </xf>
    <xf numFmtId="0" fontId="81" fillId="24" borderId="93" xfId="0" applyFont="1" applyFill="1" applyBorder="1" applyAlignment="1" applyProtection="1">
      <alignment horizontal="center" vertical="center"/>
    </xf>
    <xf numFmtId="0" fontId="72" fillId="24" borderId="7" xfId="0" applyFont="1" applyFill="1" applyBorder="1" applyAlignment="1" applyProtection="1">
      <alignment horizontal="center" vertical="center"/>
    </xf>
    <xf numFmtId="0" fontId="72" fillId="24" borderId="95" xfId="0" applyFont="1" applyFill="1" applyBorder="1" applyAlignment="1" applyProtection="1">
      <alignment horizontal="center" vertical="center"/>
    </xf>
    <xf numFmtId="0" fontId="72" fillId="0" borderId="114" xfId="0" applyFont="1" applyBorder="1" applyAlignment="1" applyProtection="1">
      <alignment horizontal="center" vertical="center"/>
    </xf>
    <xf numFmtId="0" fontId="72" fillId="0" borderId="16" xfId="0" applyFont="1" applyBorder="1" applyAlignment="1" applyProtection="1">
      <alignment horizontal="center" vertical="center"/>
    </xf>
    <xf numFmtId="0" fontId="72" fillId="0" borderId="14" xfId="0" applyFont="1" applyBorder="1" applyAlignment="1" applyProtection="1">
      <alignment horizontal="center" vertical="center"/>
    </xf>
    <xf numFmtId="0" fontId="72" fillId="0" borderId="18" xfId="0" applyFont="1" applyBorder="1" applyAlignment="1" applyProtection="1">
      <alignment horizontal="center" vertical="center"/>
    </xf>
    <xf numFmtId="0" fontId="72" fillId="24" borderId="42" xfId="0" applyFont="1" applyFill="1" applyBorder="1" applyAlignment="1" applyProtection="1">
      <alignment horizontal="center" vertical="center"/>
    </xf>
    <xf numFmtId="0" fontId="72" fillId="24" borderId="8" xfId="0" applyFont="1" applyFill="1" applyBorder="1" applyAlignment="1" applyProtection="1">
      <alignment horizontal="center" vertical="center"/>
    </xf>
    <xf numFmtId="0" fontId="72" fillId="24" borderId="11" xfId="0" applyFont="1" applyFill="1" applyBorder="1" applyAlignment="1" applyProtection="1">
      <alignment horizontal="center" vertical="center"/>
    </xf>
    <xf numFmtId="0" fontId="113" fillId="11" borderId="131" xfId="0" applyFont="1" applyFill="1" applyBorder="1" applyAlignment="1" applyProtection="1">
      <alignment horizontal="center" vertical="center"/>
    </xf>
    <xf numFmtId="0" fontId="113" fillId="11" borderId="45" xfId="0" applyFont="1" applyFill="1" applyBorder="1" applyAlignment="1" applyProtection="1">
      <alignment horizontal="center" vertical="center"/>
    </xf>
    <xf numFmtId="0" fontId="113" fillId="11" borderId="93" xfId="0" applyFont="1" applyFill="1" applyBorder="1" applyAlignment="1" applyProtection="1">
      <alignment horizontal="center" vertical="center"/>
    </xf>
    <xf numFmtId="49" fontId="72" fillId="0" borderId="25" xfId="0" applyNumberFormat="1" applyFont="1" applyFill="1" applyBorder="1" applyAlignment="1" applyProtection="1">
      <alignment horizontal="center" vertical="center"/>
    </xf>
    <xf numFmtId="0" fontId="113" fillId="11" borderId="44" xfId="0" applyFont="1" applyFill="1" applyBorder="1" applyAlignment="1" applyProtection="1">
      <alignment horizontal="center" vertical="center"/>
    </xf>
    <xf numFmtId="0" fontId="113" fillId="11" borderId="24" xfId="0" applyFont="1" applyFill="1" applyBorder="1" applyAlignment="1" applyProtection="1">
      <alignment horizontal="center" vertical="center"/>
    </xf>
    <xf numFmtId="0" fontId="113" fillId="11" borderId="22" xfId="0" applyFont="1" applyFill="1" applyBorder="1" applyAlignment="1" applyProtection="1">
      <alignment horizontal="center" vertical="center"/>
    </xf>
    <xf numFmtId="0" fontId="78" fillId="7" borderId="141" xfId="0" applyFont="1" applyFill="1" applyBorder="1" applyAlignment="1" applyProtection="1">
      <alignment horizontal="left" vertical="center"/>
      <protection locked="0"/>
    </xf>
    <xf numFmtId="0" fontId="78" fillId="7" borderId="18" xfId="0" applyFont="1" applyFill="1" applyBorder="1" applyAlignment="1" applyProtection="1">
      <alignment horizontal="left" vertical="center"/>
      <protection locked="0"/>
    </xf>
    <xf numFmtId="0" fontId="9" fillId="8" borderId="96" xfId="0" applyFont="1" applyFill="1" applyBorder="1" applyAlignment="1" applyProtection="1">
      <alignment horizontal="left" vertical="center" wrapText="1"/>
    </xf>
    <xf numFmtId="0" fontId="9" fillId="8" borderId="114" xfId="0" applyFont="1" applyFill="1" applyBorder="1" applyAlignment="1" applyProtection="1">
      <alignment horizontal="left" vertical="center" wrapText="1"/>
    </xf>
    <xf numFmtId="0" fontId="9" fillId="8" borderId="8" xfId="0" applyFont="1" applyFill="1" applyBorder="1" applyAlignment="1" applyProtection="1">
      <alignment horizontal="left" vertical="center" wrapText="1"/>
    </xf>
    <xf numFmtId="0" fontId="9" fillId="8" borderId="23" xfId="0" applyFont="1" applyFill="1" applyBorder="1" applyAlignment="1" applyProtection="1">
      <alignment horizontal="left" vertical="center" wrapText="1"/>
    </xf>
    <xf numFmtId="0" fontId="9" fillId="8" borderId="40" xfId="0" applyFont="1" applyFill="1" applyBorder="1" applyAlignment="1" applyProtection="1">
      <alignment horizontal="left" vertical="center" wrapText="1"/>
    </xf>
    <xf numFmtId="0" fontId="9" fillId="8" borderId="3" xfId="0" applyFont="1" applyFill="1" applyBorder="1" applyAlignment="1" applyProtection="1">
      <alignment horizontal="left" vertical="center" wrapText="1"/>
    </xf>
    <xf numFmtId="0" fontId="9" fillId="8" borderId="4" xfId="0" applyFont="1" applyFill="1" applyBorder="1" applyAlignment="1" applyProtection="1">
      <alignment horizontal="left" vertical="center" wrapText="1"/>
    </xf>
    <xf numFmtId="0" fontId="9" fillId="8" borderId="43" xfId="0" applyFont="1" applyFill="1" applyBorder="1" applyAlignment="1" applyProtection="1">
      <alignment horizontal="left" vertical="center" wrapText="1"/>
    </xf>
    <xf numFmtId="0" fontId="9" fillId="8" borderId="16" xfId="0" applyFont="1" applyFill="1" applyBorder="1" applyAlignment="1" applyProtection="1">
      <alignment horizontal="left" vertical="center" wrapText="1"/>
    </xf>
    <xf numFmtId="0" fontId="9" fillId="8" borderId="18" xfId="0" applyFont="1" applyFill="1" applyBorder="1" applyAlignment="1" applyProtection="1">
      <alignment horizontal="left" vertical="center" wrapText="1"/>
    </xf>
    <xf numFmtId="0" fontId="9" fillId="8" borderId="54" xfId="0" applyFont="1" applyFill="1" applyBorder="1" applyAlignment="1" applyProtection="1">
      <alignment horizontal="left" vertical="center" wrapText="1"/>
    </xf>
    <xf numFmtId="0" fontId="9" fillId="8" borderId="5" xfId="0" applyFont="1" applyFill="1" applyBorder="1" applyAlignment="1" applyProtection="1">
      <alignment horizontal="left" vertical="center" wrapText="1"/>
    </xf>
    <xf numFmtId="0" fontId="9" fillId="8" borderId="13" xfId="0" applyFont="1" applyFill="1" applyBorder="1" applyAlignment="1" applyProtection="1">
      <alignment horizontal="left" vertical="center" wrapText="1"/>
    </xf>
    <xf numFmtId="0" fontId="78" fillId="7" borderId="62" xfId="0" applyFont="1" applyFill="1" applyBorder="1" applyAlignment="1" applyProtection="1">
      <alignment vertical="center"/>
      <protection locked="0"/>
    </xf>
    <xf numFmtId="0" fontId="78" fillId="7" borderId="14" xfId="0" applyFont="1" applyFill="1" applyBorder="1" applyAlignment="1" applyProtection="1">
      <alignment vertical="center"/>
      <protection locked="0"/>
    </xf>
    <xf numFmtId="0" fontId="70" fillId="7" borderId="96" xfId="0" applyFont="1" applyFill="1" applyBorder="1" applyAlignment="1" applyProtection="1">
      <alignment horizontal="left" vertical="center"/>
      <protection locked="0"/>
    </xf>
    <xf numFmtId="0" fontId="9" fillId="7" borderId="141" xfId="0" applyFont="1" applyFill="1" applyBorder="1" applyAlignment="1" applyProtection="1">
      <alignment vertical="center"/>
    </xf>
    <xf numFmtId="0" fontId="9" fillId="7" borderId="18" xfId="0" applyFont="1" applyFill="1" applyBorder="1" applyAlignment="1" applyProtection="1">
      <alignment vertical="center"/>
    </xf>
    <xf numFmtId="49" fontId="22" fillId="4" borderId="51" xfId="0" applyNumberFormat="1" applyFont="1" applyFill="1" applyBorder="1" applyAlignment="1" applyProtection="1">
      <alignment horizontal="center" wrapText="1"/>
    </xf>
    <xf numFmtId="49" fontId="39" fillId="4" borderId="46" xfId="0" applyNumberFormat="1" applyFont="1" applyFill="1" applyBorder="1" applyAlignment="1" applyProtection="1">
      <alignment horizontal="center" wrapText="1"/>
    </xf>
    <xf numFmtId="49" fontId="39" fillId="4" borderId="44" xfId="0" applyNumberFormat="1" applyFont="1" applyFill="1" applyBorder="1" applyAlignment="1" applyProtection="1">
      <alignment horizontal="center" wrapText="1"/>
    </xf>
    <xf numFmtId="49" fontId="39" fillId="4" borderId="25" xfId="0" applyNumberFormat="1" applyFont="1" applyFill="1" applyBorder="1" applyAlignment="1" applyProtection="1">
      <alignment horizontal="center" wrapText="1"/>
    </xf>
    <xf numFmtId="49" fontId="9" fillId="2" borderId="54" xfId="0" applyNumberFormat="1" applyFont="1" applyFill="1" applyBorder="1" applyAlignment="1" applyProtection="1">
      <alignment horizontal="center"/>
    </xf>
    <xf numFmtId="49" fontId="9" fillId="2" borderId="12" xfId="0" applyNumberFormat="1" applyFont="1" applyFill="1" applyBorder="1" applyAlignment="1" applyProtection="1">
      <alignment horizontal="center"/>
    </xf>
    <xf numFmtId="0" fontId="2" fillId="8" borderId="146" xfId="0" applyFont="1" applyFill="1" applyBorder="1" applyAlignment="1" applyProtection="1">
      <alignment horizontal="center" vertical="center"/>
    </xf>
    <xf numFmtId="49" fontId="9" fillId="2" borderId="42" xfId="0" applyNumberFormat="1" applyFont="1" applyFill="1" applyBorder="1" applyAlignment="1" applyProtection="1">
      <alignment horizontal="center"/>
    </xf>
    <xf numFmtId="49" fontId="9" fillId="2" borderId="11" xfId="0" applyNumberFormat="1" applyFont="1" applyFill="1" applyBorder="1" applyAlignment="1" applyProtection="1">
      <alignment horizontal="center"/>
    </xf>
    <xf numFmtId="49" fontId="9" fillId="2" borderId="16" xfId="0" applyNumberFormat="1" applyFont="1" applyFill="1" applyBorder="1" applyAlignment="1" applyProtection="1">
      <alignment horizontal="center"/>
    </xf>
    <xf numFmtId="49" fontId="9" fillId="2" borderId="18" xfId="0" applyNumberFormat="1" applyFont="1" applyFill="1" applyBorder="1" applyAlignment="1" applyProtection="1">
      <alignment horizontal="center"/>
    </xf>
    <xf numFmtId="49" fontId="22" fillId="4" borderId="0" xfId="0" applyNumberFormat="1" applyFont="1" applyFill="1" applyBorder="1" applyAlignment="1" applyProtection="1">
      <alignment horizontal="center" wrapText="1"/>
    </xf>
    <xf numFmtId="49" fontId="39" fillId="4" borderId="28" xfId="0" applyNumberFormat="1" applyFont="1" applyFill="1" applyBorder="1" applyAlignment="1" applyProtection="1">
      <alignment horizontal="center" wrapText="1"/>
    </xf>
    <xf numFmtId="49" fontId="39" fillId="4" borderId="24" xfId="0" applyNumberFormat="1" applyFont="1" applyFill="1" applyBorder="1" applyAlignment="1" applyProtection="1">
      <alignment horizontal="center" wrapText="1"/>
    </xf>
    <xf numFmtId="49" fontId="39" fillId="4" borderId="22" xfId="0" applyNumberFormat="1" applyFont="1" applyFill="1" applyBorder="1" applyAlignment="1" applyProtection="1">
      <alignment horizontal="center" wrapText="1"/>
    </xf>
    <xf numFmtId="0" fontId="2" fillId="24" borderId="131" xfId="0" applyFont="1" applyFill="1" applyBorder="1" applyAlignment="1" applyProtection="1">
      <alignment horizontal="center" vertical="center" wrapText="1"/>
    </xf>
    <xf numFmtId="0" fontId="2" fillId="24" borderId="45" xfId="0" applyFont="1" applyFill="1" applyBorder="1" applyAlignment="1" applyProtection="1">
      <alignment horizontal="center" vertical="center" wrapText="1"/>
    </xf>
    <xf numFmtId="0" fontId="2" fillId="24" borderId="93" xfId="0" applyFont="1" applyFill="1" applyBorder="1" applyAlignment="1" applyProtection="1">
      <alignment horizontal="center" vertical="center" wrapText="1"/>
    </xf>
    <xf numFmtId="0" fontId="2" fillId="24" borderId="43" xfId="0" applyFont="1" applyFill="1" applyBorder="1" applyAlignment="1" applyProtection="1">
      <alignment horizontal="center" vertical="center" wrapText="1"/>
    </xf>
    <xf numFmtId="0" fontId="2" fillId="24" borderId="16" xfId="0" applyFont="1" applyFill="1" applyBorder="1" applyAlignment="1" applyProtection="1">
      <alignment horizontal="center" vertical="center" wrapText="1"/>
    </xf>
    <xf numFmtId="0" fontId="2" fillId="24" borderId="18" xfId="0" applyFont="1" applyFill="1" applyBorder="1" applyAlignment="1" applyProtection="1">
      <alignment horizontal="center" vertical="center" wrapText="1"/>
    </xf>
    <xf numFmtId="0" fontId="6" fillId="7" borderId="13" xfId="0" applyNumberFormat="1" applyFont="1" applyFill="1" applyBorder="1" applyAlignment="1" applyProtection="1">
      <alignment horizontal="center" vertical="center" wrapText="1"/>
      <protection locked="0"/>
    </xf>
    <xf numFmtId="0" fontId="16" fillId="0" borderId="138"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6" fillId="7" borderId="21" xfId="0" applyNumberFormat="1" applyFont="1" applyFill="1" applyBorder="1" applyAlignment="1" applyProtection="1">
      <alignment horizontal="center" vertical="center" wrapText="1"/>
      <protection locked="0"/>
    </xf>
    <xf numFmtId="0" fontId="6" fillId="7" borderId="36" xfId="0" applyNumberFormat="1" applyFont="1" applyFill="1" applyBorder="1" applyAlignment="1" applyProtection="1">
      <alignment horizontal="center" vertical="center" wrapText="1"/>
      <protection locked="0"/>
    </xf>
    <xf numFmtId="0" fontId="47" fillId="4" borderId="145" xfId="0" applyNumberFormat="1" applyFont="1" applyFill="1" applyBorder="1" applyAlignment="1" applyProtection="1">
      <alignment horizontal="center" wrapText="1"/>
    </xf>
    <xf numFmtId="0" fontId="47" fillId="4" borderId="113" xfId="0" applyNumberFormat="1" applyFont="1" applyFill="1" applyBorder="1" applyAlignment="1" applyProtection="1">
      <alignment horizontal="center" wrapText="1"/>
    </xf>
    <xf numFmtId="0" fontId="9" fillId="0" borderId="136" xfId="0" applyFont="1" applyBorder="1" applyAlignment="1" applyProtection="1">
      <alignment horizontal="center" vertical="center" wrapText="1"/>
    </xf>
    <xf numFmtId="0" fontId="9" fillId="0" borderId="140"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144" xfId="0" applyFont="1" applyBorder="1" applyAlignment="1" applyProtection="1">
      <alignment horizontal="center" vertical="center" wrapText="1"/>
    </xf>
    <xf numFmtId="0" fontId="9" fillId="0" borderId="143" xfId="0" applyFont="1" applyBorder="1" applyAlignment="1" applyProtection="1">
      <alignment horizontal="center" vertical="center" wrapText="1"/>
    </xf>
    <xf numFmtId="0" fontId="22" fillId="4" borderId="9"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6" fillId="7" borderId="92" xfId="0" applyFont="1" applyFill="1" applyBorder="1" applyAlignment="1" applyProtection="1">
      <alignment horizontal="center" vertical="center" wrapText="1"/>
      <protection locked="0"/>
    </xf>
    <xf numFmtId="0" fontId="6" fillId="7" borderId="53" xfId="0" applyFont="1" applyFill="1" applyBorder="1" applyAlignment="1" applyProtection="1">
      <alignment horizontal="center" vertical="center" wrapText="1"/>
      <protection locked="0"/>
    </xf>
    <xf numFmtId="0" fontId="2" fillId="3" borderId="148" xfId="0" applyNumberFormat="1" applyFont="1" applyFill="1" applyBorder="1" applyAlignment="1" applyProtection="1">
      <alignment horizontal="center" vertical="center" wrapText="1"/>
    </xf>
    <xf numFmtId="0" fontId="6" fillId="7" borderId="5" xfId="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6" fillId="7" borderId="36" xfId="0" applyFont="1" applyFill="1" applyBorder="1" applyAlignment="1" applyProtection="1">
      <alignment horizontal="center" vertical="center" wrapText="1"/>
      <protection locked="0"/>
    </xf>
    <xf numFmtId="0" fontId="6" fillId="7" borderId="40" xfId="0" applyFont="1" applyFill="1" applyBorder="1" applyAlignment="1" applyProtection="1">
      <alignment horizontal="center" vertical="center" wrapText="1"/>
      <protection locked="0"/>
    </xf>
    <xf numFmtId="0" fontId="6" fillId="7" borderId="40" xfId="0" applyNumberFormat="1" applyFont="1" applyFill="1" applyBorder="1" applyAlignment="1" applyProtection="1">
      <alignment horizontal="center" vertical="center" wrapText="1"/>
      <protection locked="0"/>
    </xf>
    <xf numFmtId="0" fontId="6" fillId="7" borderId="4" xfId="0" applyNumberFormat="1" applyFont="1" applyFill="1" applyBorder="1" applyAlignment="1" applyProtection="1">
      <alignment horizontal="center" vertical="center" wrapText="1"/>
      <protection locked="0"/>
    </xf>
    <xf numFmtId="0" fontId="16" fillId="4" borderId="24" xfId="0" applyNumberFormat="1" applyFont="1" applyFill="1" applyBorder="1" applyAlignment="1" applyProtection="1">
      <alignment horizontal="center" vertical="center" wrapText="1"/>
    </xf>
    <xf numFmtId="0" fontId="16" fillId="4" borderId="35" xfId="0" applyNumberFormat="1" applyFont="1" applyFill="1" applyBorder="1" applyAlignment="1" applyProtection="1">
      <alignment horizontal="center" vertical="center" wrapText="1"/>
    </xf>
    <xf numFmtId="0" fontId="280" fillId="7" borderId="34" xfId="0" applyNumberFormat="1" applyFont="1" applyFill="1" applyBorder="1" applyAlignment="1" applyProtection="1">
      <alignment horizontal="center" vertical="center" wrapText="1"/>
      <protection locked="0"/>
    </xf>
    <xf numFmtId="0" fontId="9" fillId="0" borderId="91" xfId="0" applyFont="1" applyBorder="1" applyAlignment="1" applyProtection="1">
      <alignment horizontal="center" vertical="center" wrapText="1"/>
    </xf>
    <xf numFmtId="0" fontId="9" fillId="0" borderId="149" xfId="0" applyFont="1" applyBorder="1" applyAlignment="1" applyProtection="1">
      <alignment horizontal="center" vertical="center" wrapText="1"/>
    </xf>
    <xf numFmtId="0" fontId="9" fillId="4" borderId="44" xfId="0" applyNumberFormat="1" applyFont="1" applyFill="1" applyBorder="1" applyAlignment="1" applyProtection="1">
      <alignment horizontal="center" vertical="center" wrapText="1"/>
    </xf>
    <xf numFmtId="0" fontId="9" fillId="4" borderId="22" xfId="0" applyNumberFormat="1" applyFont="1" applyFill="1" applyBorder="1" applyAlignment="1" applyProtection="1">
      <alignment horizontal="center" vertical="center" wrapText="1"/>
    </xf>
    <xf numFmtId="0" fontId="9" fillId="4" borderId="103" xfId="0" applyNumberFormat="1" applyFont="1" applyFill="1" applyBorder="1" applyAlignment="1" applyProtection="1">
      <alignment horizontal="center" vertical="center" wrapText="1"/>
    </xf>
    <xf numFmtId="0" fontId="9" fillId="4" borderId="152" xfId="0" applyNumberFormat="1" applyFont="1" applyFill="1" applyBorder="1" applyAlignment="1" applyProtection="1">
      <alignment horizontal="center" vertical="center" wrapText="1"/>
    </xf>
    <xf numFmtId="0" fontId="3" fillId="24" borderId="15" xfId="0" applyFont="1" applyFill="1" applyBorder="1" applyAlignment="1" applyProtection="1">
      <alignment horizontal="center" vertical="center"/>
    </xf>
    <xf numFmtId="0" fontId="3" fillId="24" borderId="17" xfId="0" applyFont="1" applyFill="1" applyBorder="1" applyAlignment="1" applyProtection="1">
      <alignment horizontal="center" vertical="center"/>
    </xf>
    <xf numFmtId="0" fontId="3" fillId="24" borderId="37" xfId="0" applyFont="1" applyFill="1" applyBorder="1" applyAlignment="1" applyProtection="1">
      <alignment horizontal="center" vertical="center"/>
    </xf>
    <xf numFmtId="0" fontId="9" fillId="4" borderId="9"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9" fillId="24" borderId="41" xfId="0" applyFont="1" applyFill="1" applyBorder="1" applyAlignment="1" applyProtection="1">
      <alignment horizontal="center" vertical="center"/>
    </xf>
    <xf numFmtId="0" fontId="34" fillId="24" borderId="17" xfId="0" applyFont="1" applyFill="1" applyBorder="1" applyAlignment="1" applyProtection="1">
      <alignment horizontal="center" vertical="center"/>
    </xf>
    <xf numFmtId="0" fontId="34" fillId="24" borderId="29" xfId="0" applyFont="1" applyFill="1" applyBorder="1" applyAlignment="1" applyProtection="1">
      <alignment horizontal="center" vertical="center"/>
    </xf>
    <xf numFmtId="0" fontId="2" fillId="24" borderId="43" xfId="0" applyFont="1" applyFill="1" applyBorder="1" applyAlignment="1" applyProtection="1">
      <alignment horizontal="center" vertical="center"/>
    </xf>
    <xf numFmtId="0" fontId="2" fillId="24" borderId="16" xfId="0" applyFont="1" applyFill="1" applyBorder="1" applyAlignment="1" applyProtection="1">
      <alignment horizontal="center" vertical="center"/>
    </xf>
    <xf numFmtId="0" fontId="2" fillId="24" borderId="18" xfId="0" applyFont="1" applyFill="1" applyBorder="1" applyAlignment="1" applyProtection="1">
      <alignment horizontal="center" vertical="center"/>
    </xf>
    <xf numFmtId="0" fontId="9" fillId="24" borderId="44" xfId="0" applyFont="1" applyFill="1" applyBorder="1" applyAlignment="1" applyProtection="1">
      <alignment horizontal="center" vertical="center"/>
    </xf>
    <xf numFmtId="0" fontId="9" fillId="24" borderId="24" xfId="0" applyFont="1" applyFill="1" applyBorder="1" applyAlignment="1" applyProtection="1">
      <alignment horizontal="center" vertical="center"/>
    </xf>
    <xf numFmtId="0" fontId="9" fillId="24" borderId="25" xfId="0" applyFont="1" applyFill="1" applyBorder="1" applyAlignment="1" applyProtection="1">
      <alignment horizontal="center" vertical="center"/>
    </xf>
    <xf numFmtId="0" fontId="9" fillId="24" borderId="22" xfId="0" applyFont="1" applyFill="1" applyBorder="1" applyAlignment="1" applyProtection="1">
      <alignment horizontal="center" vertical="center"/>
    </xf>
    <xf numFmtId="0" fontId="61" fillId="7" borderId="137" xfId="0" applyNumberFormat="1" applyFont="1" applyFill="1" applyBorder="1" applyAlignment="1" applyProtection="1">
      <alignment horizontal="center" vertical="center" wrapText="1"/>
      <protection locked="0"/>
    </xf>
    <xf numFmtId="0" fontId="61" fillId="7" borderId="139" xfId="0" applyNumberFormat="1"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xf>
    <xf numFmtId="0" fontId="72" fillId="0" borderId="3" xfId="0" applyFont="1" applyFill="1" applyBorder="1" applyAlignment="1" applyProtection="1">
      <alignment horizontal="center" vertical="center"/>
    </xf>
    <xf numFmtId="0" fontId="72" fillId="0" borderId="19" xfId="0" applyFont="1" applyFill="1" applyBorder="1" applyAlignment="1" applyProtection="1">
      <alignment horizontal="center" vertical="center"/>
    </xf>
    <xf numFmtId="0" fontId="16" fillId="4" borderId="9" xfId="0" applyFont="1" applyFill="1" applyBorder="1" applyAlignment="1" applyProtection="1">
      <alignment horizontal="center" vertical="center" wrapText="1"/>
    </xf>
    <xf numFmtId="0" fontId="16" fillId="4" borderId="33" xfId="0" applyFont="1" applyFill="1" applyBorder="1" applyAlignment="1" applyProtection="1">
      <alignment horizontal="center" vertical="center" wrapText="1"/>
    </xf>
    <xf numFmtId="0" fontId="52" fillId="0" borderId="137" xfId="0" applyFont="1" applyFill="1" applyBorder="1" applyAlignment="1" applyProtection="1">
      <alignment vertical="center" wrapText="1"/>
    </xf>
    <xf numFmtId="0" fontId="52" fillId="0" borderId="139" xfId="0" applyFont="1" applyFill="1" applyBorder="1" applyAlignment="1" applyProtection="1">
      <alignment vertical="center" wrapText="1"/>
    </xf>
    <xf numFmtId="0" fontId="9" fillId="4" borderId="155" xfId="0" applyFont="1" applyFill="1" applyBorder="1" applyAlignment="1" applyProtection="1">
      <alignment horizontal="center" vertical="center"/>
    </xf>
    <xf numFmtId="0" fontId="34" fillId="4" borderId="152" xfId="0" applyFont="1" applyFill="1" applyBorder="1" applyAlignment="1" applyProtection="1">
      <alignment horizontal="center" vertical="center"/>
    </xf>
    <xf numFmtId="0" fontId="63" fillId="4" borderId="151" xfId="0" applyFont="1" applyFill="1" applyBorder="1" applyAlignment="1" applyProtection="1">
      <alignment horizontal="center" vertical="center" wrapText="1"/>
    </xf>
    <xf numFmtId="0" fontId="63" fillId="4" borderId="156" xfId="0" applyFont="1" applyFill="1" applyBorder="1" applyAlignment="1" applyProtection="1">
      <alignment horizontal="center" vertical="center" wrapText="1"/>
    </xf>
    <xf numFmtId="0" fontId="70" fillId="7" borderId="3" xfId="0" applyFont="1" applyFill="1" applyBorder="1" applyAlignment="1" applyProtection="1">
      <alignment horizontal="center" vertical="center" wrapText="1"/>
      <protection locked="0"/>
    </xf>
    <xf numFmtId="0" fontId="70" fillId="7" borderId="54" xfId="0" applyFont="1" applyFill="1" applyBorder="1" applyAlignment="1" applyProtection="1">
      <alignment horizontal="center" vertical="center" wrapText="1"/>
      <protection locked="0"/>
    </xf>
    <xf numFmtId="0" fontId="70" fillId="7" borderId="12" xfId="0" applyFont="1" applyFill="1" applyBorder="1" applyAlignment="1" applyProtection="1">
      <alignment horizontal="center" vertical="center" wrapText="1"/>
      <protection locked="0"/>
    </xf>
    <xf numFmtId="0" fontId="70" fillId="7" borderId="5" xfId="0" applyFont="1" applyFill="1" applyBorder="1" applyAlignment="1" applyProtection="1">
      <alignment horizontal="center" vertical="center" wrapText="1"/>
      <protection locked="0"/>
    </xf>
    <xf numFmtId="0" fontId="2" fillId="3" borderId="158" xfId="0" applyFont="1" applyFill="1" applyBorder="1" applyAlignment="1" applyProtection="1">
      <alignment horizontal="center" wrapText="1"/>
    </xf>
    <xf numFmtId="0" fontId="2" fillId="3" borderId="85" xfId="0" applyFont="1" applyFill="1" applyBorder="1" applyAlignment="1" applyProtection="1">
      <alignment horizontal="center" wrapText="1"/>
    </xf>
    <xf numFmtId="0" fontId="2" fillId="4" borderId="24" xfId="0" applyFont="1" applyFill="1" applyBorder="1" applyAlignment="1" applyProtection="1">
      <alignment vertical="center" wrapText="1"/>
    </xf>
    <xf numFmtId="0" fontId="2" fillId="4" borderId="22" xfId="0" applyFont="1" applyFill="1" applyBorder="1" applyAlignment="1" applyProtection="1">
      <alignment vertical="center" wrapText="1"/>
    </xf>
    <xf numFmtId="0" fontId="16" fillId="4" borderId="42"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2" fillId="3" borderId="148" xfId="0" applyFont="1" applyFill="1" applyBorder="1" applyAlignment="1" applyProtection="1">
      <alignment horizontal="center" vertical="center" wrapText="1"/>
    </xf>
    <xf numFmtId="0" fontId="2" fillId="3" borderId="125" xfId="0" applyFont="1" applyFill="1" applyBorder="1" applyAlignment="1" applyProtection="1">
      <alignment horizontal="center" vertical="center" wrapText="1"/>
    </xf>
    <xf numFmtId="0" fontId="2" fillId="3" borderId="157" xfId="0" applyFont="1" applyFill="1" applyBorder="1" applyAlignment="1" applyProtection="1">
      <alignment horizontal="center" vertical="center" wrapText="1"/>
    </xf>
    <xf numFmtId="0" fontId="2" fillId="3" borderId="126" xfId="0" applyFont="1" applyFill="1" applyBorder="1" applyAlignment="1" applyProtection="1">
      <alignment horizontal="center" vertical="center" wrapText="1"/>
    </xf>
    <xf numFmtId="0" fontId="70" fillId="7" borderId="10" xfId="0" applyFont="1" applyFill="1" applyBorder="1" applyAlignment="1" applyProtection="1">
      <alignment horizontal="center" vertical="center" wrapText="1"/>
      <protection locked="0"/>
    </xf>
    <xf numFmtId="0" fontId="70" fillId="7" borderId="34" xfId="0" applyFont="1" applyFill="1" applyBorder="1" applyAlignment="1" applyProtection="1">
      <alignment horizontal="center" vertical="center" wrapText="1"/>
      <protection locked="0"/>
    </xf>
    <xf numFmtId="0" fontId="70" fillId="7" borderId="21" xfId="0" applyFont="1" applyFill="1" applyBorder="1" applyAlignment="1" applyProtection="1">
      <alignment horizontal="center" vertical="center" wrapText="1"/>
      <protection locked="0"/>
    </xf>
    <xf numFmtId="0" fontId="70" fillId="7" borderId="36" xfId="0" applyFont="1" applyFill="1" applyBorder="1" applyAlignment="1" applyProtection="1">
      <alignment horizontal="center" vertical="center" wrapText="1"/>
      <protection locked="0"/>
    </xf>
    <xf numFmtId="0" fontId="279" fillId="7" borderId="10" xfId="0" applyFont="1" applyFill="1" applyBorder="1" applyAlignment="1" applyProtection="1">
      <alignment horizontal="center" vertical="center" wrapText="1"/>
      <protection locked="0"/>
    </xf>
    <xf numFmtId="0" fontId="279" fillId="7" borderId="34" xfId="0" applyFont="1" applyFill="1" applyBorder="1" applyAlignment="1" applyProtection="1">
      <alignment horizontal="center" vertical="center" wrapText="1"/>
      <protection locked="0"/>
    </xf>
    <xf numFmtId="0" fontId="284" fillId="7" borderId="54" xfId="0" applyFont="1" applyFill="1" applyBorder="1" applyAlignment="1" applyProtection="1">
      <alignment horizontal="center" vertical="center"/>
      <protection locked="0"/>
    </xf>
    <xf numFmtId="0" fontId="284" fillId="7" borderId="12" xfId="0" applyFont="1" applyFill="1" applyBorder="1" applyAlignment="1" applyProtection="1">
      <alignment horizontal="center" vertical="center"/>
      <protection locked="0"/>
    </xf>
    <xf numFmtId="0" fontId="47" fillId="0" borderId="62" xfId="0" applyFont="1" applyFill="1" applyBorder="1" applyAlignment="1" applyProtection="1">
      <alignment horizontal="left" vertical="center" wrapText="1"/>
    </xf>
    <xf numFmtId="0" fontId="47" fillId="0" borderId="114" xfId="0" applyFont="1" applyFill="1" applyBorder="1" applyAlignment="1" applyProtection="1">
      <alignment horizontal="left" vertical="center" wrapText="1"/>
    </xf>
    <xf numFmtId="0" fontId="47" fillId="0" borderId="119" xfId="0" applyFont="1" applyFill="1" applyBorder="1" applyAlignment="1" applyProtection="1">
      <alignment horizontal="left" vertical="center" wrapText="1"/>
    </xf>
    <xf numFmtId="0" fontId="47" fillId="0" borderId="14"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32" xfId="0" applyFont="1" applyFill="1" applyBorder="1" applyAlignment="1" applyProtection="1">
      <alignment horizontal="left" vertical="center" wrapText="1"/>
    </xf>
    <xf numFmtId="0" fontId="70" fillId="7" borderId="38" xfId="0" applyFont="1" applyFill="1" applyBorder="1" applyAlignment="1" applyProtection="1">
      <alignment horizontal="center" vertical="center" wrapText="1"/>
      <protection locked="0"/>
    </xf>
    <xf numFmtId="0" fontId="70" fillId="7" borderId="127" xfId="0" applyFont="1" applyFill="1" applyBorder="1" applyAlignment="1" applyProtection="1">
      <alignment horizontal="center" vertical="center" wrapText="1"/>
      <protection locked="0"/>
    </xf>
    <xf numFmtId="0" fontId="9" fillId="4" borderId="155" xfId="0" applyNumberFormat="1" applyFont="1" applyFill="1" applyBorder="1" applyAlignment="1" applyProtection="1">
      <alignment horizontal="center" vertical="center" wrapText="1"/>
    </xf>
    <xf numFmtId="0" fontId="9" fillId="4" borderId="156" xfId="0" applyNumberFormat="1" applyFont="1" applyFill="1" applyBorder="1" applyAlignment="1" applyProtection="1">
      <alignment horizontal="center" vertical="center" wrapText="1"/>
    </xf>
    <xf numFmtId="0" fontId="9" fillId="4" borderId="151" xfId="0" applyNumberFormat="1" applyFont="1" applyFill="1" applyBorder="1" applyAlignment="1" applyProtection="1">
      <alignment horizontal="center" vertical="center" wrapText="1"/>
    </xf>
    <xf numFmtId="0" fontId="9" fillId="0" borderId="131"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9" fillId="0" borderId="161" xfId="0" applyFont="1" applyBorder="1" applyAlignment="1" applyProtection="1">
      <alignment horizontal="center" vertical="center" wrapText="1"/>
    </xf>
    <xf numFmtId="0" fontId="2" fillId="3" borderId="154" xfId="0" applyFont="1" applyFill="1" applyBorder="1" applyAlignment="1" applyProtection="1">
      <alignment horizontal="center" vertical="center" wrapText="1"/>
    </xf>
    <xf numFmtId="0" fontId="17" fillId="4" borderId="24" xfId="0" applyFont="1" applyFill="1" applyBorder="1" applyAlignment="1" applyProtection="1">
      <alignment horizontal="center" vertical="center" wrapText="1"/>
    </xf>
    <xf numFmtId="0" fontId="17" fillId="4" borderId="35" xfId="0" applyFont="1" applyFill="1" applyBorder="1" applyAlignment="1" applyProtection="1">
      <alignment horizontal="center" vertical="center" wrapText="1"/>
    </xf>
    <xf numFmtId="0" fontId="6" fillId="7" borderId="54" xfId="0" applyFont="1" applyFill="1" applyBorder="1" applyAlignment="1" applyProtection="1">
      <alignment horizontal="center" vertical="center" wrapText="1"/>
      <protection locked="0"/>
    </xf>
    <xf numFmtId="0" fontId="9" fillId="0" borderId="54"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123" xfId="0" applyFont="1" applyBorder="1" applyAlignment="1" applyProtection="1">
      <alignment horizontal="left" vertical="center" wrapText="1"/>
    </xf>
    <xf numFmtId="0" fontId="9" fillId="0" borderId="129" xfId="0" applyFont="1" applyBorder="1" applyAlignment="1" applyProtection="1">
      <alignment horizontal="left" vertical="center" wrapText="1"/>
    </xf>
    <xf numFmtId="0" fontId="9" fillId="0" borderId="137" xfId="0" applyFont="1" applyBorder="1" applyAlignment="1" applyProtection="1">
      <alignment horizontal="center" vertical="center" wrapText="1"/>
    </xf>
    <xf numFmtId="0" fontId="2" fillId="4" borderId="25" xfId="0" applyFont="1" applyFill="1" applyBorder="1" applyAlignment="1" applyProtection="1">
      <alignment vertical="center" wrapText="1"/>
    </xf>
    <xf numFmtId="0" fontId="9" fillId="0" borderId="42"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54" xfId="0" applyFont="1" applyBorder="1" applyAlignment="1" applyProtection="1">
      <alignment vertical="center" wrapText="1"/>
    </xf>
    <xf numFmtId="0" fontId="9" fillId="0" borderId="5" xfId="0" applyFont="1" applyBorder="1" applyAlignment="1" applyProtection="1">
      <alignment vertical="center" wrapText="1"/>
    </xf>
    <xf numFmtId="0" fontId="6" fillId="7" borderId="19" xfId="0" applyNumberFormat="1" applyFont="1" applyFill="1" applyBorder="1" applyAlignment="1" applyProtection="1">
      <alignment horizontal="center" vertical="center" wrapText="1"/>
      <protection locked="0"/>
    </xf>
    <xf numFmtId="0" fontId="9" fillId="0" borderId="120" xfId="0" applyFont="1" applyBorder="1" applyAlignment="1" applyProtection="1">
      <alignment vertical="center" wrapText="1"/>
    </xf>
    <xf numFmtId="0" fontId="9" fillId="0" borderId="81" xfId="0" applyFont="1" applyBorder="1" applyAlignment="1" applyProtection="1">
      <alignment vertical="center" wrapText="1"/>
    </xf>
    <xf numFmtId="0" fontId="2" fillId="4" borderId="103" xfId="0" applyFont="1" applyFill="1" applyBorder="1" applyAlignment="1" applyProtection="1">
      <alignment vertical="center" wrapText="1"/>
    </xf>
    <xf numFmtId="0" fontId="14" fillId="4" borderId="103" xfId="0" applyFont="1" applyFill="1" applyBorder="1" applyAlignment="1" applyProtection="1">
      <alignment vertical="center" wrapText="1"/>
    </xf>
    <xf numFmtId="0" fontId="14" fillId="4" borderId="156" xfId="0" applyFont="1" applyFill="1" applyBorder="1" applyAlignment="1" applyProtection="1">
      <alignment vertical="center" wrapText="1"/>
    </xf>
    <xf numFmtId="0" fontId="16" fillId="4" borderId="155" xfId="0" applyFont="1" applyFill="1" applyBorder="1" applyAlignment="1" applyProtection="1">
      <alignment horizontal="center" vertical="center" wrapText="1"/>
    </xf>
    <xf numFmtId="0" fontId="16" fillId="4" borderId="152" xfId="0" applyFont="1" applyFill="1" applyBorder="1" applyAlignment="1" applyProtection="1">
      <alignment horizontal="center" vertical="center" wrapText="1"/>
    </xf>
    <xf numFmtId="0" fontId="16" fillId="4" borderId="103" xfId="0" applyFont="1" applyFill="1" applyBorder="1" applyAlignment="1" applyProtection="1">
      <alignment horizontal="center" vertical="center" wrapText="1"/>
    </xf>
    <xf numFmtId="0" fontId="16" fillId="4" borderId="104" xfId="0" applyFont="1" applyFill="1" applyBorder="1" applyAlignment="1" applyProtection="1">
      <alignment horizontal="center" vertical="center" wrapText="1"/>
    </xf>
    <xf numFmtId="0" fontId="16" fillId="4" borderId="151" xfId="0" applyFont="1" applyFill="1" applyBorder="1" applyAlignment="1" applyProtection="1">
      <alignment horizontal="center" vertical="center" wrapText="1"/>
    </xf>
    <xf numFmtId="0" fontId="16" fillId="4" borderId="156" xfId="0" applyFont="1" applyFill="1" applyBorder="1" applyAlignment="1" applyProtection="1">
      <alignment horizontal="center" vertical="center" wrapText="1"/>
    </xf>
    <xf numFmtId="166" fontId="70" fillId="7" borderId="10" xfId="0" applyNumberFormat="1" applyFont="1" applyFill="1" applyBorder="1" applyAlignment="1" applyProtection="1">
      <alignment horizontal="center" vertical="center" wrapText="1"/>
      <protection locked="0"/>
    </xf>
    <xf numFmtId="166" fontId="70" fillId="7" borderId="34" xfId="0" applyNumberFormat="1" applyFont="1" applyFill="1" applyBorder="1" applyAlignment="1" applyProtection="1">
      <alignment horizontal="center" vertical="center" wrapText="1"/>
      <protection locked="0"/>
    </xf>
    <xf numFmtId="0" fontId="9" fillId="0" borderId="136" xfId="0" applyFont="1" applyFill="1" applyBorder="1" applyAlignment="1" applyProtection="1">
      <alignment horizontal="center" vertical="center" wrapText="1"/>
    </xf>
    <xf numFmtId="0" fontId="9" fillId="0" borderId="138"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40" xfId="0" applyFont="1" applyBorder="1" applyAlignment="1" applyProtection="1">
      <alignment vertical="center" wrapText="1"/>
    </xf>
    <xf numFmtId="0" fontId="9" fillId="0" borderId="3" xfId="0" applyFont="1" applyBorder="1" applyAlignment="1" applyProtection="1">
      <alignment vertical="center" wrapText="1"/>
    </xf>
    <xf numFmtId="0" fontId="70" fillId="7" borderId="40" xfId="0" applyFont="1" applyFill="1" applyBorder="1" applyAlignment="1" applyProtection="1">
      <alignment horizontal="center" vertical="center" wrapText="1"/>
      <protection locked="0"/>
    </xf>
    <xf numFmtId="0" fontId="70" fillId="7" borderId="19" xfId="0" applyFont="1" applyFill="1" applyBorder="1" applyAlignment="1" applyProtection="1">
      <alignment horizontal="center" vertical="center" wrapText="1"/>
      <protection locked="0"/>
    </xf>
    <xf numFmtId="0" fontId="48" fillId="0" borderId="56" xfId="0" applyFont="1" applyBorder="1" applyAlignment="1" applyProtection="1">
      <alignment vertical="center" wrapText="1"/>
    </xf>
    <xf numFmtId="0" fontId="48" fillId="0" borderId="68" xfId="0" applyFont="1" applyBorder="1" applyAlignment="1" applyProtection="1">
      <alignment vertical="center" wrapText="1"/>
    </xf>
    <xf numFmtId="0" fontId="22" fillId="4" borderId="42" xfId="0" applyFont="1" applyFill="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72" xfId="0" applyFont="1" applyFill="1" applyBorder="1" applyAlignment="1" applyProtection="1">
      <alignment horizontal="center" vertical="center" wrapText="1"/>
    </xf>
    <xf numFmtId="0" fontId="9" fillId="0" borderId="162" xfId="0" applyFont="1" applyFill="1" applyBorder="1" applyAlignment="1" applyProtection="1">
      <alignment horizontal="center" vertical="center" wrapText="1"/>
    </xf>
    <xf numFmtId="165" fontId="70" fillId="7" borderId="8" xfId="0" applyNumberFormat="1" applyFont="1" applyFill="1" applyBorder="1" applyAlignment="1" applyProtection="1">
      <alignment horizontal="center" vertical="center" wrapText="1"/>
      <protection locked="0"/>
    </xf>
    <xf numFmtId="165" fontId="70" fillId="7" borderId="33" xfId="0" applyNumberFormat="1" applyFont="1" applyFill="1" applyBorder="1" applyAlignment="1" applyProtection="1">
      <alignment horizontal="center" vertical="center" wrapText="1"/>
      <protection locked="0"/>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165" fontId="70" fillId="7" borderId="10" xfId="0" applyNumberFormat="1" applyFont="1" applyFill="1" applyBorder="1" applyAlignment="1" applyProtection="1">
      <alignment horizontal="center" vertical="center" wrapText="1"/>
      <protection locked="0"/>
    </xf>
    <xf numFmtId="165" fontId="70" fillId="7" borderId="34" xfId="0" applyNumberFormat="1" applyFont="1" applyFill="1" applyBorder="1" applyAlignment="1" applyProtection="1">
      <alignment horizontal="center" vertical="center" wrapText="1"/>
      <protection locked="0"/>
    </xf>
    <xf numFmtId="2" fontId="70" fillId="7" borderId="10" xfId="0" applyNumberFormat="1" applyFont="1" applyFill="1" applyBorder="1" applyAlignment="1" applyProtection="1">
      <alignment horizontal="center" vertical="center" wrapText="1"/>
      <protection locked="0"/>
    </xf>
    <xf numFmtId="2" fontId="70" fillId="7" borderId="34" xfId="0" applyNumberFormat="1" applyFont="1" applyFill="1" applyBorder="1" applyAlignment="1" applyProtection="1">
      <alignment horizontal="center" vertical="center" wrapText="1"/>
      <protection locked="0"/>
    </xf>
    <xf numFmtId="165" fontId="70" fillId="7" borderId="62" xfId="0" applyNumberFormat="1" applyFont="1" applyFill="1" applyBorder="1" applyAlignment="1" applyProtection="1">
      <alignment horizontal="center" vertical="center" wrapText="1"/>
      <protection locked="0"/>
    </xf>
    <xf numFmtId="165" fontId="70" fillId="7" borderId="119" xfId="0" applyNumberFormat="1" applyFont="1" applyFill="1" applyBorder="1" applyAlignment="1" applyProtection="1">
      <alignment horizontal="center" vertical="center" wrapText="1"/>
      <protection locked="0"/>
    </xf>
    <xf numFmtId="0" fontId="13" fillId="3" borderId="125" xfId="0" applyFont="1" applyFill="1" applyBorder="1" applyAlignment="1" applyProtection="1">
      <alignment vertical="center"/>
    </xf>
    <xf numFmtId="0" fontId="13" fillId="3" borderId="150" xfId="0" applyFont="1" applyFill="1" applyBorder="1" applyAlignment="1" applyProtection="1">
      <alignment vertical="center"/>
    </xf>
    <xf numFmtId="0" fontId="16" fillId="0" borderId="91" xfId="0" applyFont="1" applyBorder="1" applyAlignment="1" applyProtection="1">
      <alignment horizontal="center" vertical="center" wrapText="1"/>
    </xf>
    <xf numFmtId="0" fontId="16" fillId="0" borderId="149" xfId="0" applyFont="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0" fontId="70" fillId="7" borderId="44" xfId="0" applyFont="1" applyFill="1" applyBorder="1" applyAlignment="1" applyProtection="1">
      <alignment horizontal="center" vertical="center" wrapText="1"/>
      <protection locked="0"/>
    </xf>
    <xf numFmtId="0" fontId="70" fillId="7" borderId="24" xfId="0" applyFont="1" applyFill="1" applyBorder="1" applyAlignment="1" applyProtection="1">
      <alignment horizontal="center" vertical="center" wrapText="1"/>
      <protection locked="0"/>
    </xf>
    <xf numFmtId="0" fontId="16" fillId="0" borderId="137" xfId="0" applyFont="1" applyBorder="1" applyAlignment="1" applyProtection="1">
      <alignment horizontal="center" vertical="center" wrapText="1"/>
    </xf>
    <xf numFmtId="0" fontId="16" fillId="0" borderId="143" xfId="0" applyFont="1" applyBorder="1" applyAlignment="1" applyProtection="1">
      <alignment horizontal="center" vertical="center" wrapText="1"/>
    </xf>
    <xf numFmtId="1" fontId="70" fillId="7" borderId="9" xfId="0" applyNumberFormat="1" applyFont="1" applyFill="1" applyBorder="1" applyAlignment="1" applyProtection="1">
      <alignment horizontal="center" vertical="center" wrapText="1"/>
      <protection locked="0"/>
    </xf>
    <xf numFmtId="1" fontId="70" fillId="7" borderId="11" xfId="0" applyNumberFormat="1" applyFont="1" applyFill="1" applyBorder="1" applyAlignment="1" applyProtection="1">
      <alignment horizontal="center" vertical="center" wrapText="1"/>
      <protection locked="0"/>
    </xf>
    <xf numFmtId="0" fontId="63" fillId="4" borderId="155" xfId="0" applyFont="1" applyFill="1" applyBorder="1" applyAlignment="1" applyProtection="1">
      <alignment horizontal="center" vertical="center" wrapText="1"/>
    </xf>
    <xf numFmtId="0" fontId="9" fillId="0" borderId="40"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16" fillId="0" borderId="96" xfId="0" applyFont="1" applyFill="1" applyBorder="1" applyAlignment="1" applyProtection="1">
      <alignment vertical="center" wrapText="1"/>
    </xf>
    <xf numFmtId="0" fontId="16" fillId="0" borderId="43" xfId="0" applyFont="1" applyFill="1" applyBorder="1" applyAlignment="1" applyProtection="1">
      <alignment vertical="center" wrapText="1"/>
    </xf>
    <xf numFmtId="0" fontId="9" fillId="4" borderId="151" xfId="0" applyFont="1" applyFill="1" applyBorder="1" applyAlignment="1" applyProtection="1">
      <alignment horizontal="center" vertical="center" wrapText="1"/>
    </xf>
    <xf numFmtId="0" fontId="70" fillId="7" borderId="92" xfId="0" applyFont="1" applyFill="1" applyBorder="1" applyAlignment="1" applyProtection="1">
      <alignment horizontal="center" vertical="center" wrapText="1"/>
      <protection locked="0"/>
    </xf>
    <xf numFmtId="0" fontId="70" fillId="7" borderId="53"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6" fillId="4" borderId="27"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xf>
    <xf numFmtId="0" fontId="16" fillId="0" borderId="96" xfId="0" applyFont="1" applyFill="1" applyBorder="1" applyAlignment="1" applyProtection="1">
      <alignment vertical="center"/>
    </xf>
    <xf numFmtId="0" fontId="16" fillId="0" borderId="43" xfId="0" applyFont="1" applyFill="1" applyBorder="1" applyAlignment="1" applyProtection="1">
      <alignment vertical="center"/>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30"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16" fillId="0" borderId="31" xfId="0" applyFont="1" applyFill="1" applyBorder="1" applyAlignment="1" applyProtection="1">
      <alignment vertical="center" wrapText="1"/>
    </xf>
    <xf numFmtId="0" fontId="16" fillId="0" borderId="21" xfId="0" applyFont="1" applyFill="1" applyBorder="1" applyAlignment="1" applyProtection="1">
      <alignment vertical="center" wrapText="1"/>
    </xf>
    <xf numFmtId="0" fontId="16" fillId="0" borderId="94" xfId="0" applyFont="1" applyFill="1" applyBorder="1" applyAlignment="1" applyProtection="1">
      <alignment vertical="center" wrapText="1"/>
    </xf>
    <xf numFmtId="0" fontId="14" fillId="4" borderId="104" xfId="0" applyFont="1" applyFill="1" applyBorder="1" applyAlignment="1" applyProtection="1">
      <alignment vertical="center" wrapText="1"/>
    </xf>
    <xf numFmtId="0" fontId="22" fillId="0" borderId="45" xfId="0" applyFont="1" applyFill="1" applyBorder="1" applyAlignment="1" applyProtection="1">
      <alignment wrapText="1"/>
    </xf>
    <xf numFmtId="0" fontId="48" fillId="0" borderId="45" xfId="0" applyFont="1" applyFill="1" applyBorder="1" applyAlignment="1" applyProtection="1">
      <alignment wrapText="1"/>
    </xf>
    <xf numFmtId="0" fontId="48" fillId="0" borderId="138" xfId="0" applyFont="1" applyFill="1" applyBorder="1" applyAlignment="1" applyProtection="1">
      <alignment wrapText="1"/>
    </xf>
    <xf numFmtId="0" fontId="6" fillId="7" borderId="42" xfId="0" applyNumberFormat="1" applyFont="1" applyFill="1" applyBorder="1" applyAlignment="1" applyProtection="1">
      <alignment horizontal="center" vertical="center" wrapText="1"/>
      <protection locked="0"/>
    </xf>
    <xf numFmtId="0" fontId="6" fillId="7" borderId="23" xfId="0" applyNumberFormat="1" applyFont="1" applyFill="1" applyBorder="1" applyAlignment="1" applyProtection="1">
      <alignment horizontal="center" vertical="center" wrapText="1"/>
      <protection locked="0"/>
    </xf>
    <xf numFmtId="0" fontId="61" fillId="7" borderId="40" xfId="0" applyNumberFormat="1" applyFont="1" applyFill="1" applyBorder="1" applyAlignment="1" applyProtection="1">
      <alignment horizontal="center" vertical="center" wrapText="1"/>
      <protection locked="0"/>
    </xf>
    <xf numFmtId="0" fontId="61" fillId="7" borderId="36" xfId="0" applyNumberFormat="1" applyFont="1" applyFill="1" applyBorder="1" applyAlignment="1" applyProtection="1">
      <alignment horizontal="center" vertical="center" wrapText="1"/>
      <protection locked="0"/>
    </xf>
    <xf numFmtId="0" fontId="9" fillId="4" borderId="151" xfId="0" applyNumberFormat="1" applyFont="1" applyFill="1" applyBorder="1" applyAlignment="1" applyProtection="1">
      <alignment horizontal="center" wrapText="1"/>
    </xf>
    <xf numFmtId="0" fontId="9" fillId="4" borderId="152" xfId="0" applyNumberFormat="1" applyFont="1" applyFill="1" applyBorder="1" applyAlignment="1" applyProtection="1">
      <alignment horizontal="center" wrapText="1"/>
    </xf>
    <xf numFmtId="0" fontId="52" fillId="0" borderId="72" xfId="0" applyFont="1" applyFill="1" applyBorder="1" applyAlignment="1" applyProtection="1">
      <alignment vertical="center" wrapText="1"/>
    </xf>
    <xf numFmtId="0" fontId="52" fillId="0" borderId="162"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30" xfId="0" applyFont="1" applyFill="1" applyBorder="1" applyAlignment="1" applyProtection="1">
      <alignment vertical="center" wrapText="1"/>
    </xf>
    <xf numFmtId="0" fontId="6" fillId="7" borderId="3"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vertical="center" wrapText="1"/>
    </xf>
    <xf numFmtId="0" fontId="9" fillId="0" borderId="21" xfId="0" applyFont="1" applyFill="1" applyBorder="1" applyAlignment="1" applyProtection="1">
      <alignment vertical="center" wrapText="1"/>
    </xf>
    <xf numFmtId="0" fontId="9" fillId="0" borderId="94" xfId="0" applyFont="1" applyFill="1" applyBorder="1" applyAlignment="1" applyProtection="1">
      <alignment vertical="center" wrapText="1"/>
    </xf>
    <xf numFmtId="0" fontId="22" fillId="0" borderId="137" xfId="0" applyFont="1" applyFill="1" applyBorder="1" applyAlignment="1" applyProtection="1">
      <alignment vertical="center" wrapText="1"/>
    </xf>
    <xf numFmtId="0" fontId="22" fillId="0" borderId="139" xfId="0" applyFont="1" applyFill="1" applyBorder="1" applyAlignment="1" applyProtection="1">
      <alignment vertical="center" wrapText="1"/>
    </xf>
    <xf numFmtId="0" fontId="9" fillId="4" borderId="104" xfId="0" applyNumberFormat="1" applyFont="1" applyFill="1" applyBorder="1" applyAlignment="1" applyProtection="1">
      <alignment horizontal="center" wrapText="1"/>
    </xf>
    <xf numFmtId="0" fontId="16" fillId="4" borderId="103" xfId="0" applyNumberFormat="1" applyFont="1" applyFill="1" applyBorder="1" applyAlignment="1" applyProtection="1">
      <alignment horizontal="center" wrapText="1"/>
    </xf>
    <xf numFmtId="0" fontId="16" fillId="4" borderId="104" xfId="0" applyNumberFormat="1" applyFont="1" applyFill="1" applyBorder="1" applyAlignment="1" applyProtection="1">
      <alignment horizontal="center" wrapText="1"/>
    </xf>
    <xf numFmtId="0" fontId="47" fillId="4" borderId="46" xfId="0" applyNumberFormat="1" applyFont="1" applyFill="1" applyBorder="1" applyAlignment="1" applyProtection="1">
      <alignment horizontal="center" wrapText="1"/>
    </xf>
    <xf numFmtId="0" fontId="47" fillId="4" borderId="25" xfId="0" applyNumberFormat="1" applyFont="1" applyFill="1" applyBorder="1" applyAlignment="1" applyProtection="1">
      <alignment horizontal="center" wrapText="1"/>
    </xf>
    <xf numFmtId="0" fontId="6" fillId="7" borderId="33" xfId="0" applyNumberFormat="1" applyFont="1" applyFill="1" applyBorder="1" applyAlignment="1" applyProtection="1">
      <alignment horizontal="center" vertical="center" wrapText="1"/>
      <protection locked="0"/>
    </xf>
    <xf numFmtId="0" fontId="16" fillId="0" borderId="54"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2" fillId="4" borderId="166" xfId="0" applyFont="1" applyFill="1" applyBorder="1" applyAlignment="1" applyProtection="1">
      <alignment vertical="center" wrapText="1"/>
    </xf>
    <xf numFmtId="0" fontId="2" fillId="4" borderId="167" xfId="0" applyFont="1" applyFill="1" applyBorder="1" applyAlignment="1" applyProtection="1">
      <alignment vertical="center" wrapText="1"/>
    </xf>
    <xf numFmtId="0" fontId="9" fillId="4" borderId="27"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0" borderId="119"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2"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4" borderId="27" xfId="0" applyNumberFormat="1" applyFont="1" applyFill="1" applyBorder="1" applyAlignment="1" applyProtection="1">
      <alignment horizontal="center" vertical="center" wrapText="1"/>
    </xf>
    <xf numFmtId="0" fontId="9" fillId="4" borderId="25" xfId="0" applyNumberFormat="1" applyFont="1" applyFill="1" applyBorder="1" applyAlignment="1" applyProtection="1">
      <alignment horizontal="center" vertical="center" wrapText="1"/>
    </xf>
    <xf numFmtId="0" fontId="280" fillId="7" borderId="136" xfId="0" applyFont="1" applyFill="1" applyBorder="1" applyAlignment="1" applyProtection="1">
      <alignment horizontal="center" vertical="center" wrapText="1"/>
      <protection locked="0"/>
    </xf>
    <xf numFmtId="0" fontId="280" fillId="7" borderId="140" xfId="0" applyFont="1" applyFill="1" applyBorder="1" applyAlignment="1" applyProtection="1">
      <alignment horizontal="center" vertical="center" wrapText="1"/>
      <protection locked="0"/>
    </xf>
    <xf numFmtId="0" fontId="280" fillId="7" borderId="6" xfId="0" applyFont="1" applyFill="1" applyBorder="1" applyAlignment="1" applyProtection="1">
      <alignment horizontal="center" vertical="center" wrapText="1"/>
      <protection locked="0"/>
    </xf>
    <xf numFmtId="0" fontId="6" fillId="7" borderId="14" xfId="0" applyFont="1" applyFill="1" applyBorder="1" applyAlignment="1" applyProtection="1">
      <alignment horizontal="center" vertical="center" wrapText="1"/>
      <protection locked="0"/>
    </xf>
    <xf numFmtId="0" fontId="6" fillId="7" borderId="32" xfId="0" applyFont="1" applyFill="1" applyBorder="1" applyAlignment="1" applyProtection="1">
      <alignment horizontal="center" vertical="center" wrapText="1"/>
      <protection locked="0"/>
    </xf>
    <xf numFmtId="0" fontId="280" fillId="7" borderId="54" xfId="0" applyFont="1" applyFill="1" applyBorder="1" applyAlignment="1" applyProtection="1">
      <alignment horizontal="center" vertical="center" wrapText="1"/>
      <protection locked="0"/>
    </xf>
    <xf numFmtId="0" fontId="280" fillId="7" borderId="12" xfId="0" applyFont="1" applyFill="1" applyBorder="1" applyAlignment="1" applyProtection="1">
      <alignment horizontal="center" vertical="center" wrapText="1"/>
      <protection locked="0"/>
    </xf>
    <xf numFmtId="0" fontId="22" fillId="0" borderId="163" xfId="0" applyFont="1" applyFill="1" applyBorder="1" applyAlignment="1" applyProtection="1">
      <alignment vertical="center" wrapText="1"/>
    </xf>
    <xf numFmtId="0" fontId="22" fillId="0" borderId="50" xfId="0" applyFont="1" applyFill="1" applyBorder="1" applyAlignment="1" applyProtection="1">
      <alignment vertical="center" wrapText="1"/>
    </xf>
    <xf numFmtId="0" fontId="9" fillId="0" borderId="136"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6" fillId="7" borderId="73"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110" xfId="0" applyFont="1" applyFill="1" applyBorder="1" applyAlignment="1" applyProtection="1">
      <alignment horizontal="center" vertical="center" wrapText="1"/>
      <protection locked="0"/>
    </xf>
    <xf numFmtId="0" fontId="6" fillId="7" borderId="31" xfId="0"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1" xfId="0" applyFont="1" applyBorder="1" applyAlignment="1" applyProtection="1">
      <alignment horizontal="right" vertical="center"/>
    </xf>
    <xf numFmtId="0" fontId="9" fillId="0" borderId="6" xfId="0" applyFont="1" applyBorder="1" applyAlignment="1" applyProtection="1">
      <alignment horizontal="right" vertical="center"/>
    </xf>
    <xf numFmtId="0" fontId="6" fillId="7" borderId="96" xfId="0" applyFont="1" applyFill="1" applyBorder="1" applyAlignment="1" applyProtection="1">
      <alignment horizontal="center" vertical="center" wrapText="1"/>
      <protection locked="0"/>
    </xf>
    <xf numFmtId="0" fontId="6" fillId="7" borderId="121" xfId="0" applyFont="1" applyFill="1" applyBorder="1" applyAlignment="1" applyProtection="1">
      <alignment horizontal="center" vertical="center" wrapText="1"/>
      <protection locked="0"/>
    </xf>
    <xf numFmtId="0" fontId="6" fillId="7" borderId="43"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9" fillId="4" borderId="42" xfId="0" applyNumberFormat="1" applyFont="1" applyFill="1" applyBorder="1" applyAlignment="1" applyProtection="1">
      <alignment horizontal="center" vertical="center" wrapText="1"/>
    </xf>
    <xf numFmtId="0" fontId="9" fillId="4" borderId="11" xfId="0" applyNumberFormat="1" applyFont="1" applyFill="1" applyBorder="1" applyAlignment="1" applyProtection="1">
      <alignment horizontal="center" vertical="center" wrapText="1"/>
    </xf>
    <xf numFmtId="0" fontId="9" fillId="0" borderId="131" xfId="0" applyNumberFormat="1" applyFont="1" applyFill="1" applyBorder="1" applyAlignment="1" applyProtection="1">
      <alignment horizontal="center" vertical="center" wrapText="1"/>
    </xf>
    <xf numFmtId="0" fontId="9" fillId="0" borderId="140" xfId="0" applyNumberFormat="1" applyFont="1" applyFill="1" applyBorder="1" applyAlignment="1" applyProtection="1">
      <alignment horizontal="center" vertical="center" wrapText="1"/>
    </xf>
    <xf numFmtId="0" fontId="9" fillId="0" borderId="51" xfId="0" applyNumberFormat="1" applyFont="1" applyFill="1" applyBorder="1" applyAlignment="1" applyProtection="1">
      <alignment horizontal="center" vertical="center" wrapText="1"/>
    </xf>
    <xf numFmtId="0" fontId="9" fillId="0" borderId="46" xfId="0" applyNumberFormat="1" applyFont="1" applyFill="1" applyBorder="1" applyAlignment="1" applyProtection="1">
      <alignment horizontal="center" vertical="center" wrapText="1"/>
    </xf>
    <xf numFmtId="0" fontId="9" fillId="0" borderId="161" xfId="0" applyNumberFormat="1" applyFont="1" applyFill="1" applyBorder="1" applyAlignment="1" applyProtection="1">
      <alignment horizontal="center" vertical="center" wrapText="1"/>
    </xf>
    <xf numFmtId="0" fontId="9" fillId="0" borderId="143" xfId="0" applyNumberFormat="1" applyFont="1" applyFill="1" applyBorder="1" applyAlignment="1" applyProtection="1">
      <alignment horizontal="center" vertical="center" wrapText="1"/>
    </xf>
    <xf numFmtId="0" fontId="16" fillId="0" borderId="120" xfId="0" applyFont="1" applyFill="1" applyBorder="1" applyAlignment="1" applyProtection="1">
      <alignment vertical="center" wrapText="1"/>
    </xf>
    <xf numFmtId="0" fontId="16" fillId="0" borderId="81" xfId="0" applyFont="1" applyFill="1" applyBorder="1" applyAlignment="1" applyProtection="1">
      <alignment vertical="center" wrapText="1"/>
    </xf>
    <xf numFmtId="0" fontId="38" fillId="3" borderId="125" xfId="0" applyFont="1" applyFill="1" applyBorder="1" applyAlignment="1" applyProtection="1">
      <alignment vertical="center" wrapText="1"/>
    </xf>
    <xf numFmtId="0" fontId="38" fillId="3" borderId="150" xfId="0" applyFont="1" applyFill="1" applyBorder="1" applyAlignment="1" applyProtection="1">
      <alignment vertical="center" wrapText="1"/>
    </xf>
    <xf numFmtId="0" fontId="9" fillId="4" borderId="11" xfId="0" applyFont="1" applyFill="1" applyBorder="1" applyAlignment="1" applyProtection="1">
      <alignment horizontal="center" vertical="center" wrapText="1"/>
    </xf>
    <xf numFmtId="0" fontId="9" fillId="4" borderId="23" xfId="0" applyNumberFormat="1" applyFont="1" applyFill="1" applyBorder="1" applyAlignment="1" applyProtection="1">
      <alignment horizontal="center" vertical="center" wrapText="1"/>
    </xf>
    <xf numFmtId="0" fontId="168" fillId="4" borderId="24" xfId="0" applyFont="1" applyFill="1" applyBorder="1" applyAlignment="1" applyProtection="1">
      <alignment vertical="center" wrapText="1"/>
    </xf>
    <xf numFmtId="0" fontId="168" fillId="4" borderId="22" xfId="0" applyFont="1" applyFill="1" applyBorder="1" applyAlignment="1" applyProtection="1">
      <alignment vertical="center" wrapText="1"/>
    </xf>
    <xf numFmtId="0" fontId="9" fillId="0" borderId="131" xfId="0" applyNumberFormat="1" applyFont="1" applyBorder="1" applyAlignment="1" applyProtection="1">
      <alignment horizontal="center" vertical="center" wrapText="1"/>
    </xf>
    <xf numFmtId="0" fontId="9" fillId="0" borderId="140" xfId="0" applyNumberFormat="1" applyFont="1" applyBorder="1" applyAlignment="1" applyProtection="1">
      <alignment horizontal="center" vertical="center" wrapText="1"/>
    </xf>
    <xf numFmtId="0" fontId="9" fillId="0" borderId="51" xfId="0" applyNumberFormat="1" applyFont="1" applyBorder="1" applyAlignment="1" applyProtection="1">
      <alignment horizontal="center" vertical="center" wrapText="1"/>
    </xf>
    <xf numFmtId="0" fontId="9" fillId="0" borderId="46" xfId="0" applyNumberFormat="1" applyFont="1" applyBorder="1" applyAlignment="1" applyProtection="1">
      <alignment horizontal="center" vertical="center" wrapText="1"/>
    </xf>
    <xf numFmtId="0" fontId="9" fillId="0" borderId="161" xfId="0" applyNumberFormat="1" applyFont="1" applyBorder="1" applyAlignment="1" applyProtection="1">
      <alignment horizontal="center" vertical="center" wrapText="1"/>
    </xf>
    <xf numFmtId="0" fontId="9" fillId="0" borderId="143" xfId="0" applyNumberFormat="1" applyFont="1" applyBorder="1" applyAlignment="1" applyProtection="1">
      <alignment horizontal="center" vertical="center" wrapText="1"/>
    </xf>
    <xf numFmtId="0" fontId="2" fillId="4" borderId="104"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09" fillId="0" borderId="0" xfId="0" applyFont="1" applyFill="1" applyAlignment="1" applyProtection="1">
      <alignment vertical="center"/>
    </xf>
    <xf numFmtId="0" fontId="280" fillId="7" borderId="10" xfId="0" applyNumberFormat="1" applyFont="1" applyFill="1" applyBorder="1" applyAlignment="1" applyProtection="1">
      <alignment horizontal="center" vertical="center" wrapText="1"/>
      <protection locked="0"/>
    </xf>
    <xf numFmtId="0" fontId="16" fillId="0" borderId="142" xfId="0" applyFont="1" applyFill="1" applyBorder="1" applyAlignment="1" applyProtection="1">
      <alignment vertical="center" wrapText="1"/>
    </xf>
    <xf numFmtId="0" fontId="16" fillId="0" borderId="2" xfId="0" applyFont="1" applyFill="1" applyBorder="1" applyAlignment="1" applyProtection="1">
      <alignment vertical="center" wrapText="1"/>
    </xf>
    <xf numFmtId="0" fontId="55" fillId="4" borderId="24" xfId="0" applyFont="1" applyFill="1" applyBorder="1" applyAlignment="1" applyProtection="1">
      <alignment horizontal="right" wrapText="1"/>
    </xf>
    <xf numFmtId="0" fontId="55" fillId="4" borderId="22" xfId="0" applyFont="1" applyFill="1" applyBorder="1" applyAlignment="1" applyProtection="1">
      <alignment horizontal="right" wrapText="1"/>
    </xf>
    <xf numFmtId="0" fontId="52" fillId="0" borderId="72"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66" xfId="0" applyFont="1" applyFill="1" applyBorder="1" applyAlignment="1" applyProtection="1">
      <alignment vertical="center" wrapText="1"/>
    </xf>
    <xf numFmtId="0" fontId="9" fillId="0" borderId="3" xfId="0" applyFont="1" applyFill="1" applyBorder="1" applyAlignment="1" applyProtection="1">
      <alignment vertical="center" wrapText="1"/>
    </xf>
    <xf numFmtId="49" fontId="72" fillId="24" borderId="40" xfId="0" applyNumberFormat="1" applyFont="1" applyFill="1" applyBorder="1" applyAlignment="1" applyProtection="1">
      <alignment horizontal="center" vertical="center"/>
    </xf>
    <xf numFmtId="49" fontId="72" fillId="24" borderId="19" xfId="0" applyNumberFormat="1" applyFont="1" applyFill="1" applyBorder="1" applyAlignment="1" applyProtection="1">
      <alignment horizontal="center" vertical="center"/>
    </xf>
    <xf numFmtId="49" fontId="72" fillId="0" borderId="44" xfId="0" applyNumberFormat="1" applyFont="1" applyFill="1" applyBorder="1" applyAlignment="1" applyProtection="1">
      <alignment horizontal="center" vertical="center"/>
    </xf>
    <xf numFmtId="0" fontId="64" fillId="0" borderId="69" xfId="1" applyFont="1" applyBorder="1" applyAlignment="1" applyProtection="1">
      <alignment horizontal="center" vertical="center"/>
    </xf>
    <xf numFmtId="0" fontId="64" fillId="0" borderId="64" xfId="1" applyFont="1" applyBorder="1" applyAlignment="1" applyProtection="1">
      <alignment horizontal="center" vertical="center"/>
    </xf>
    <xf numFmtId="0" fontId="64" fillId="0" borderId="70" xfId="1" applyFont="1" applyBorder="1" applyAlignment="1" applyProtection="1">
      <alignment horizontal="center" vertical="center"/>
    </xf>
    <xf numFmtId="0" fontId="16" fillId="0" borderId="140" xfId="0" applyFont="1" applyFill="1" applyBorder="1" applyAlignment="1" applyProtection="1">
      <alignment horizontal="right" vertical="center" wrapText="1"/>
    </xf>
    <xf numFmtId="0" fontId="16" fillId="0" borderId="6" xfId="0" applyFont="1" applyFill="1" applyBorder="1" applyAlignment="1" applyProtection="1">
      <alignment horizontal="right" vertical="center" wrapText="1"/>
    </xf>
    <xf numFmtId="0" fontId="287" fillId="7" borderId="69" xfId="0" applyFont="1" applyFill="1" applyBorder="1" applyAlignment="1" applyProtection="1">
      <alignment horizontal="center" vertical="center"/>
      <protection hidden="1"/>
    </xf>
    <xf numFmtId="0" fontId="287" fillId="7" borderId="64" xfId="0" applyFont="1" applyFill="1" applyBorder="1" applyAlignment="1" applyProtection="1">
      <alignment horizontal="center" vertical="center"/>
      <protection hidden="1"/>
    </xf>
    <xf numFmtId="49" fontId="9" fillId="0" borderId="146" xfId="0" applyNumberFormat="1" applyFont="1" applyBorder="1" applyAlignment="1" applyProtection="1">
      <alignment horizontal="center" vertical="center"/>
    </xf>
    <xf numFmtId="49" fontId="9" fillId="0" borderId="84" xfId="0" applyNumberFormat="1" applyFont="1" applyBorder="1" applyAlignment="1" applyProtection="1">
      <alignment horizontal="center" vertical="center"/>
    </xf>
    <xf numFmtId="0" fontId="9" fillId="4" borderId="155" xfId="0" applyNumberFormat="1" applyFont="1" applyFill="1" applyBorder="1" applyAlignment="1" applyProtection="1">
      <alignment horizontal="center" wrapText="1"/>
    </xf>
    <xf numFmtId="0" fontId="9" fillId="4" borderId="156" xfId="0" applyNumberFormat="1" applyFont="1" applyFill="1" applyBorder="1" applyAlignment="1" applyProtection="1">
      <alignment horizontal="center" wrapText="1"/>
    </xf>
    <xf numFmtId="0" fontId="280" fillId="7" borderId="12" xfId="0" applyNumberFormat="1" applyFont="1" applyFill="1" applyBorder="1" applyAlignment="1" applyProtection="1">
      <alignment horizontal="center" vertical="center" wrapText="1"/>
      <protection locked="0"/>
    </xf>
    <xf numFmtId="0" fontId="16" fillId="4" borderId="152" xfId="0" applyNumberFormat="1" applyFont="1" applyFill="1" applyBorder="1" applyAlignment="1" applyProtection="1">
      <alignment horizontal="center" wrapText="1"/>
    </xf>
    <xf numFmtId="0" fontId="280" fillId="7" borderId="5" xfId="0" applyNumberFormat="1" applyFont="1" applyFill="1" applyBorder="1" applyAlignment="1" applyProtection="1">
      <alignment horizontal="center" vertical="center" wrapText="1"/>
      <protection locked="0"/>
    </xf>
    <xf numFmtId="0" fontId="9" fillId="0" borderId="93" xfId="0" applyNumberFormat="1" applyFont="1" applyBorder="1" applyAlignment="1" applyProtection="1">
      <alignment horizontal="center" vertical="center" wrapText="1"/>
    </xf>
    <xf numFmtId="0" fontId="9" fillId="0" borderId="28" xfId="0" applyNumberFormat="1" applyFont="1" applyBorder="1" applyAlignment="1" applyProtection="1">
      <alignment horizontal="center" vertical="center" wrapText="1"/>
    </xf>
    <xf numFmtId="0" fontId="9" fillId="0" borderId="44" xfId="0" applyNumberFormat="1" applyFont="1" applyBorder="1" applyAlignment="1" applyProtection="1">
      <alignment horizontal="center" vertical="center" wrapText="1"/>
    </xf>
    <xf numFmtId="0" fontId="9" fillId="0" borderId="22" xfId="0" applyNumberFormat="1" applyFont="1" applyBorder="1" applyAlignment="1" applyProtection="1">
      <alignment horizontal="center" vertical="center" wrapText="1"/>
    </xf>
    <xf numFmtId="0" fontId="9" fillId="4" borderId="104" xfId="0" applyNumberFormat="1" applyFont="1" applyFill="1" applyBorder="1" applyAlignment="1" applyProtection="1">
      <alignment horizontal="center" vertical="center" wrapText="1"/>
    </xf>
    <xf numFmtId="0" fontId="6" fillId="7" borderId="24" xfId="0" applyNumberFormat="1" applyFont="1" applyFill="1" applyBorder="1" applyAlignment="1" applyProtection="1">
      <alignment horizontal="center" vertical="center" wrapText="1"/>
      <protection locked="0"/>
    </xf>
    <xf numFmtId="0" fontId="6" fillId="7" borderId="35" xfId="0" applyNumberFormat="1" applyFont="1" applyFill="1" applyBorder="1" applyAlignment="1" applyProtection="1">
      <alignment horizontal="center" vertical="center" wrapText="1"/>
      <protection locked="0"/>
    </xf>
    <xf numFmtId="0" fontId="6" fillId="7" borderId="44" xfId="0" applyNumberFormat="1" applyFont="1" applyFill="1" applyBorder="1" applyAlignment="1" applyProtection="1">
      <alignment horizontal="center" vertical="center" wrapText="1"/>
      <protection locked="0"/>
    </xf>
    <xf numFmtId="0" fontId="6" fillId="7" borderId="22" xfId="0" applyNumberFormat="1" applyFont="1" applyFill="1" applyBorder="1" applyAlignment="1" applyProtection="1">
      <alignment horizontal="center" vertical="center" wrapText="1"/>
      <protection locked="0"/>
    </xf>
    <xf numFmtId="0" fontId="16" fillId="4" borderId="155" xfId="0" applyNumberFormat="1" applyFont="1" applyFill="1" applyBorder="1" applyAlignment="1" applyProtection="1">
      <alignment horizontal="center" vertical="center" wrapText="1"/>
    </xf>
    <xf numFmtId="0" fontId="16" fillId="4" borderId="156" xfId="0" applyNumberFormat="1" applyFont="1" applyFill="1" applyBorder="1" applyAlignment="1" applyProtection="1">
      <alignment horizontal="center" vertical="center" wrapText="1"/>
    </xf>
    <xf numFmtId="0" fontId="22" fillId="0" borderId="71" xfId="0" applyFont="1" applyFill="1" applyBorder="1" applyAlignment="1" applyProtection="1">
      <alignment vertical="center" wrapText="1"/>
    </xf>
    <xf numFmtId="0" fontId="22" fillId="0" borderId="72" xfId="0" applyFont="1" applyFill="1" applyBorder="1" applyAlignment="1" applyProtection="1">
      <alignment vertical="center" wrapText="1"/>
    </xf>
    <xf numFmtId="0" fontId="22" fillId="0" borderId="162" xfId="0" applyFont="1" applyFill="1" applyBorder="1" applyAlignment="1" applyProtection="1">
      <alignment vertical="center" wrapText="1"/>
    </xf>
    <xf numFmtId="0" fontId="3" fillId="4" borderId="155" xfId="0" applyFont="1" applyFill="1" applyBorder="1" applyAlignment="1" applyProtection="1">
      <alignment horizontal="center" vertical="center" wrapText="1"/>
    </xf>
    <xf numFmtId="0" fontId="3" fillId="4" borderId="152" xfId="0" applyFont="1" applyFill="1" applyBorder="1" applyAlignment="1" applyProtection="1">
      <alignment horizontal="center" vertical="center" wrapText="1"/>
    </xf>
    <xf numFmtId="0" fontId="9" fillId="0" borderId="91" xfId="0" applyFont="1" applyFill="1" applyBorder="1" applyAlignment="1" applyProtection="1">
      <alignment horizontal="center" vertical="center" wrapText="1"/>
    </xf>
    <xf numFmtId="0" fontId="9" fillId="0" borderId="68" xfId="0" applyFont="1" applyFill="1" applyBorder="1" applyAlignment="1" applyProtection="1">
      <alignment horizontal="center" vertical="center" wrapText="1"/>
    </xf>
    <xf numFmtId="0" fontId="16" fillId="4" borderId="25" xfId="0" applyNumberFormat="1" applyFont="1" applyFill="1" applyBorder="1" applyAlignment="1" applyProtection="1">
      <alignment horizontal="center" vertical="center" wrapText="1"/>
    </xf>
    <xf numFmtId="0" fontId="280" fillId="7" borderId="138" xfId="0" applyFont="1" applyFill="1" applyBorder="1" applyAlignment="1" applyProtection="1">
      <alignment horizontal="center" vertical="center" wrapText="1"/>
      <protection locked="0"/>
    </xf>
    <xf numFmtId="0" fontId="280" fillId="7" borderId="48" xfId="0" applyFont="1" applyFill="1" applyBorder="1" applyAlignment="1" applyProtection="1">
      <alignment horizontal="center" vertical="center" wrapText="1"/>
      <protection locked="0"/>
    </xf>
    <xf numFmtId="0" fontId="280" fillId="7" borderId="49" xfId="0" applyFont="1" applyFill="1" applyBorder="1" applyAlignment="1" applyProtection="1">
      <alignment horizontal="center" vertical="center" wrapText="1"/>
      <protection locked="0"/>
    </xf>
    <xf numFmtId="0" fontId="9" fillId="0" borderId="136" xfId="0" applyNumberFormat="1" applyFont="1" applyBorder="1" applyAlignment="1" applyProtection="1">
      <alignment horizontal="center" vertical="center" wrapText="1"/>
    </xf>
    <xf numFmtId="0" fontId="9" fillId="0" borderId="48" xfId="0" applyNumberFormat="1" applyFont="1" applyBorder="1" applyAlignment="1" applyProtection="1">
      <alignment horizontal="center" vertical="center" wrapText="1"/>
    </xf>
    <xf numFmtId="0" fontId="9" fillId="0" borderId="27" xfId="0" applyNumberFormat="1" applyFont="1" applyBorder="1" applyAlignment="1" applyProtection="1">
      <alignment horizontal="center" vertical="center" wrapText="1"/>
    </xf>
    <xf numFmtId="0" fontId="9" fillId="0" borderId="25" xfId="0" applyNumberFormat="1" applyFont="1" applyBorder="1" applyAlignment="1" applyProtection="1">
      <alignment horizontal="center" vertical="center" wrapText="1"/>
    </xf>
    <xf numFmtId="0" fontId="6" fillId="7" borderId="27" xfId="0" applyNumberFormat="1" applyFont="1" applyFill="1" applyBorder="1" applyAlignment="1" applyProtection="1">
      <alignment horizontal="center" vertical="center" wrapText="1"/>
      <protection locked="0"/>
    </xf>
    <xf numFmtId="0" fontId="9" fillId="4" borderId="155" xfId="0" applyFont="1" applyFill="1" applyBorder="1" applyAlignment="1" applyProtection="1">
      <alignment horizontal="center" wrapText="1"/>
    </xf>
    <xf numFmtId="0" fontId="9" fillId="4" borderId="152" xfId="0" applyFont="1" applyFill="1" applyBorder="1" applyAlignment="1" applyProtection="1">
      <alignment horizontal="center" wrapText="1"/>
    </xf>
    <xf numFmtId="0" fontId="6" fillId="7" borderId="153"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wrapText="1"/>
    </xf>
    <xf numFmtId="0" fontId="9" fillId="0" borderId="128" xfId="0" applyFont="1" applyFill="1" applyBorder="1" applyAlignment="1" applyProtection="1">
      <alignment vertical="center" wrapText="1"/>
    </xf>
    <xf numFmtId="0" fontId="34" fillId="4" borderId="43" xfId="0" applyFont="1" applyFill="1" applyBorder="1" applyAlignment="1" applyProtection="1">
      <alignment horizontal="center" vertical="center"/>
    </xf>
    <xf numFmtId="0" fontId="34" fillId="4" borderId="18"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6" fillId="7" borderId="92" xfId="0" applyNumberFormat="1" applyFont="1" applyFill="1" applyBorder="1" applyAlignment="1" applyProtection="1">
      <alignment horizontal="center" vertical="center" wrapText="1"/>
      <protection locked="0"/>
    </xf>
    <xf numFmtId="0" fontId="6" fillId="7" borderId="53" xfId="0" applyNumberFormat="1" applyFont="1" applyFill="1" applyBorder="1" applyAlignment="1" applyProtection="1">
      <alignment horizontal="center" vertical="center" wrapText="1"/>
      <protection locked="0"/>
    </xf>
    <xf numFmtId="0" fontId="9" fillId="0" borderId="8" xfId="0" applyFont="1" applyFill="1" applyBorder="1" applyAlignment="1" applyProtection="1">
      <alignment vertical="center" wrapText="1"/>
    </xf>
    <xf numFmtId="0" fontId="16" fillId="0" borderId="136" xfId="0" applyNumberFormat="1" applyFont="1" applyBorder="1" applyAlignment="1" applyProtection="1">
      <alignment horizontal="center" vertical="center" wrapText="1"/>
    </xf>
    <xf numFmtId="0" fontId="16" fillId="0" borderId="140" xfId="0" applyNumberFormat="1" applyFont="1" applyBorder="1" applyAlignment="1" applyProtection="1">
      <alignment horizontal="center" vertical="center" wrapText="1"/>
    </xf>
    <xf numFmtId="0" fontId="16" fillId="0" borderId="48" xfId="0" applyNumberFormat="1" applyFont="1" applyBorder="1" applyAlignment="1" applyProtection="1">
      <alignment horizontal="center" vertical="center" wrapText="1"/>
    </xf>
    <xf numFmtId="0" fontId="16" fillId="0" borderId="46" xfId="0" applyNumberFormat="1" applyFont="1" applyBorder="1" applyAlignment="1" applyProtection="1">
      <alignment horizontal="center" vertical="center" wrapText="1"/>
    </xf>
    <xf numFmtId="0" fontId="16" fillId="0" borderId="91" xfId="0" applyNumberFormat="1" applyFont="1" applyBorder="1" applyAlignment="1" applyProtection="1">
      <alignment horizontal="center" vertical="center" wrapText="1"/>
    </xf>
    <xf numFmtId="0" fontId="16" fillId="0" borderId="149" xfId="0" applyNumberFormat="1" applyFont="1" applyBorder="1" applyAlignment="1" applyProtection="1">
      <alignment horizontal="center" vertical="center" wrapText="1"/>
    </xf>
    <xf numFmtId="0" fontId="6" fillId="7" borderId="11" xfId="0" applyNumberFormat="1" applyFont="1" applyFill="1" applyBorder="1" applyAlignment="1" applyProtection="1">
      <alignment horizontal="center" vertical="center" wrapText="1"/>
      <protection locked="0"/>
    </xf>
    <xf numFmtId="0" fontId="9" fillId="4" borderId="43"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0" borderId="5" xfId="0" applyFont="1" applyBorder="1" applyAlignment="1" applyProtection="1">
      <alignment horizontal="center" vertical="center"/>
    </xf>
    <xf numFmtId="0" fontId="9" fillId="0" borderId="13" xfId="0" applyFont="1" applyBorder="1" applyAlignment="1" applyProtection="1">
      <alignment horizontal="center" vertical="center"/>
    </xf>
    <xf numFmtId="0" fontId="6" fillId="7" borderId="139" xfId="0" applyNumberFormat="1" applyFont="1" applyFill="1" applyBorder="1" applyAlignment="1" applyProtection="1">
      <alignment horizontal="center" vertical="center" wrapText="1"/>
      <protection locked="0"/>
    </xf>
    <xf numFmtId="49" fontId="9" fillId="24" borderId="131" xfId="0" applyNumberFormat="1" applyFont="1" applyFill="1" applyBorder="1" applyAlignment="1" applyProtection="1">
      <alignment vertical="center" wrapText="1"/>
    </xf>
    <xf numFmtId="49" fontId="9" fillId="24" borderId="45" xfId="0" applyNumberFormat="1" applyFont="1" applyFill="1" applyBorder="1" applyAlignment="1" applyProtection="1">
      <alignment vertical="center" wrapText="1"/>
    </xf>
    <xf numFmtId="49" fontId="9" fillId="24" borderId="93" xfId="0" applyNumberFormat="1" applyFont="1" applyFill="1" applyBorder="1" applyAlignment="1" applyProtection="1">
      <alignment vertical="center" wrapText="1"/>
    </xf>
    <xf numFmtId="49" fontId="9" fillId="24" borderId="51" xfId="0" applyNumberFormat="1" applyFont="1" applyFill="1" applyBorder="1" applyAlignment="1" applyProtection="1">
      <alignment vertical="center" wrapText="1"/>
    </xf>
    <xf numFmtId="49" fontId="9" fillId="24" borderId="0" xfId="0" applyNumberFormat="1" applyFont="1" applyFill="1" applyBorder="1" applyAlignment="1" applyProtection="1">
      <alignment vertical="center" wrapText="1"/>
    </xf>
    <xf numFmtId="49" fontId="9" fillId="24" borderId="28" xfId="0" applyNumberFormat="1" applyFont="1" applyFill="1" applyBorder="1" applyAlignment="1" applyProtection="1">
      <alignment vertical="center" wrapText="1"/>
    </xf>
    <xf numFmtId="49" fontId="9" fillId="24" borderId="44" xfId="0" applyNumberFormat="1" applyFont="1" applyFill="1" applyBorder="1" applyAlignment="1" applyProtection="1">
      <alignment vertical="center" wrapText="1"/>
    </xf>
    <xf numFmtId="49" fontId="9" fillId="24" borderId="24" xfId="0" applyNumberFormat="1" applyFont="1" applyFill="1" applyBorder="1" applyAlignment="1" applyProtection="1">
      <alignment vertical="center" wrapText="1"/>
    </xf>
    <xf numFmtId="49" fontId="9" fillId="24" borderId="22" xfId="0" applyNumberFormat="1" applyFont="1" applyFill="1" applyBorder="1" applyAlignment="1" applyProtection="1">
      <alignment vertical="center" wrapText="1"/>
    </xf>
    <xf numFmtId="0" fontId="6" fillId="7" borderId="186" xfId="0" applyNumberFormat="1" applyFont="1" applyFill="1" applyBorder="1" applyAlignment="1" applyProtection="1">
      <alignment horizontal="center" vertical="center" wrapText="1"/>
      <protection locked="0"/>
    </xf>
    <xf numFmtId="0" fontId="6" fillId="7" borderId="113" xfId="0" applyNumberFormat="1" applyFont="1" applyFill="1" applyBorder="1" applyAlignment="1" applyProtection="1">
      <alignment horizontal="center" vertical="center" wrapText="1"/>
      <protection locked="0"/>
    </xf>
    <xf numFmtId="0" fontId="6" fillId="7" borderId="123"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center" vertical="center" wrapText="1"/>
      <protection locked="0"/>
    </xf>
    <xf numFmtId="0" fontId="61" fillId="7" borderId="4" xfId="0" applyNumberFormat="1" applyFont="1" applyFill="1" applyBorder="1" applyAlignment="1" applyProtection="1">
      <alignment horizontal="center" vertical="center" wrapText="1"/>
      <protection locked="0"/>
    </xf>
    <xf numFmtId="175" fontId="70" fillId="7" borderId="21" xfId="0" applyNumberFormat="1" applyFont="1" applyFill="1" applyBorder="1" applyAlignment="1" applyProtection="1">
      <alignment horizontal="center" vertical="center" wrapText="1"/>
      <protection locked="0"/>
    </xf>
    <xf numFmtId="175" fontId="70" fillId="7" borderId="36" xfId="0" applyNumberFormat="1" applyFont="1" applyFill="1" applyBorder="1" applyAlignment="1" applyProtection="1">
      <alignment horizontal="center" vertical="center" wrapText="1"/>
      <protection locked="0"/>
    </xf>
    <xf numFmtId="0" fontId="63" fillId="4" borderId="152" xfId="0" applyFont="1" applyFill="1" applyBorder="1" applyAlignment="1" applyProtection="1">
      <alignment horizontal="center" vertical="center" wrapText="1"/>
    </xf>
    <xf numFmtId="0" fontId="0" fillId="0" borderId="69" xfId="0" applyBorder="1" applyAlignment="1" applyProtection="1">
      <alignment horizontal="center" vertical="center"/>
    </xf>
    <xf numFmtId="0" fontId="0" fillId="0" borderId="64" xfId="0" applyBorder="1" applyAlignment="1" applyProtection="1">
      <alignment horizontal="center" vertical="center"/>
    </xf>
    <xf numFmtId="0" fontId="0" fillId="0" borderId="70" xfId="0" applyBorder="1" applyAlignment="1" applyProtection="1">
      <alignment horizontal="center" vertical="center"/>
    </xf>
    <xf numFmtId="0" fontId="70" fillId="7" borderId="42" xfId="0" applyFont="1" applyFill="1" applyBorder="1" applyAlignment="1" applyProtection="1">
      <alignment horizontal="center" vertical="center" wrapText="1"/>
      <protection locked="0"/>
    </xf>
    <xf numFmtId="0" fontId="70" fillId="7" borderId="11" xfId="0" applyFont="1" applyFill="1" applyBorder="1" applyAlignment="1" applyProtection="1">
      <alignment horizontal="center" vertical="center" wrapText="1"/>
      <protection locked="0"/>
    </xf>
    <xf numFmtId="1" fontId="70" fillId="7" borderId="10" xfId="0" applyNumberFormat="1" applyFont="1" applyFill="1" applyBorder="1" applyAlignment="1" applyProtection="1">
      <alignment horizontal="center" vertical="center" wrapText="1"/>
      <protection locked="0"/>
    </xf>
    <xf numFmtId="1" fontId="70" fillId="7" borderId="12" xfId="0" applyNumberFormat="1" applyFont="1" applyFill="1" applyBorder="1" applyAlignment="1" applyProtection="1">
      <alignment horizontal="center" vertical="center" wrapText="1"/>
      <protection locked="0"/>
    </xf>
    <xf numFmtId="0" fontId="16" fillId="0" borderId="131" xfId="0" applyFont="1" applyFill="1" applyBorder="1" applyAlignment="1" applyProtection="1">
      <alignment vertical="center" wrapText="1"/>
    </xf>
    <xf numFmtId="0" fontId="16" fillId="0" borderId="44" xfId="0" applyFont="1" applyFill="1" applyBorder="1" applyAlignment="1" applyProtection="1">
      <alignment vertical="center" wrapText="1"/>
    </xf>
    <xf numFmtId="0" fontId="113" fillId="24" borderId="136" xfId="0" applyFont="1" applyFill="1" applyBorder="1" applyAlignment="1" applyProtection="1">
      <alignment horizontal="center" vertical="center" wrapText="1"/>
    </xf>
    <xf numFmtId="0" fontId="113" fillId="24" borderId="93" xfId="0" applyFont="1" applyFill="1" applyBorder="1" applyAlignment="1" applyProtection="1">
      <alignment horizontal="center" vertical="center" wrapText="1"/>
    </xf>
    <xf numFmtId="0" fontId="69" fillId="7" borderId="10" xfId="0" applyFont="1" applyFill="1" applyBorder="1" applyAlignment="1" applyProtection="1">
      <alignment horizontal="center" vertical="center" wrapText="1"/>
      <protection locked="0"/>
    </xf>
    <xf numFmtId="0" fontId="69" fillId="7" borderId="12" xfId="0" applyFont="1" applyFill="1" applyBorder="1" applyAlignment="1" applyProtection="1">
      <alignment horizontal="center" vertical="center" wrapText="1"/>
      <protection locked="0"/>
    </xf>
    <xf numFmtId="0" fontId="127" fillId="0" borderId="10" xfId="0" applyFont="1" applyBorder="1" applyAlignment="1" applyProtection="1">
      <alignment horizontal="center" vertical="center" wrapText="1"/>
    </xf>
    <xf numFmtId="0" fontId="127" fillId="0" borderId="12" xfId="0" applyFont="1" applyBorder="1" applyAlignment="1" applyProtection="1">
      <alignment horizontal="center" vertical="center" wrapText="1"/>
    </xf>
    <xf numFmtId="2" fontId="127" fillId="0" borderId="10" xfId="0" applyNumberFormat="1" applyFont="1" applyBorder="1" applyAlignment="1" applyProtection="1">
      <alignment horizontal="center"/>
    </xf>
    <xf numFmtId="2" fontId="127" fillId="0" borderId="12" xfId="0" applyNumberFormat="1" applyFont="1" applyBorder="1" applyAlignment="1" applyProtection="1">
      <alignment horizontal="center"/>
    </xf>
    <xf numFmtId="2" fontId="3" fillId="0" borderId="10" xfId="0" applyNumberFormat="1" applyFont="1" applyBorder="1" applyAlignment="1" applyProtection="1">
      <alignment horizontal="center"/>
    </xf>
    <xf numFmtId="2" fontId="3" fillId="0" borderId="13" xfId="0" applyNumberFormat="1" applyFont="1" applyBorder="1" applyAlignment="1" applyProtection="1">
      <alignment horizontal="center"/>
    </xf>
    <xf numFmtId="2" fontId="3" fillId="0" borderId="14" xfId="0" applyNumberFormat="1" applyFont="1" applyBorder="1" applyAlignment="1" applyProtection="1">
      <alignment horizontal="center"/>
    </xf>
    <xf numFmtId="2" fontId="3" fillId="0" borderId="18" xfId="0" applyNumberFormat="1" applyFont="1" applyBorder="1" applyAlignment="1" applyProtection="1">
      <alignment horizontal="center"/>
    </xf>
    <xf numFmtId="0" fontId="69" fillId="7" borderId="14" xfId="0" applyFont="1" applyFill="1" applyBorder="1" applyAlignment="1" applyProtection="1">
      <alignment horizontal="center" vertical="center"/>
      <protection locked="0"/>
    </xf>
    <xf numFmtId="0" fontId="69" fillId="7" borderId="6" xfId="0" applyFont="1" applyFill="1" applyBorder="1" applyAlignment="1" applyProtection="1">
      <alignment horizontal="center" vertical="center"/>
      <protection locked="0"/>
    </xf>
    <xf numFmtId="0" fontId="127" fillId="0" borderId="14" xfId="0" applyFont="1" applyBorder="1" applyAlignment="1" applyProtection="1">
      <alignment horizontal="center" vertical="center" wrapText="1"/>
    </xf>
    <xf numFmtId="0" fontId="127" fillId="0" borderId="6" xfId="0" applyFont="1" applyBorder="1" applyAlignment="1" applyProtection="1">
      <alignment horizontal="center" vertical="center" wrapText="1"/>
    </xf>
    <xf numFmtId="2" fontId="127" fillId="0" borderId="14" xfId="0" applyNumberFormat="1" applyFont="1" applyBorder="1" applyAlignment="1" applyProtection="1">
      <alignment horizontal="center"/>
    </xf>
    <xf numFmtId="2" fontId="127" fillId="0" borderId="6" xfId="0" applyNumberFormat="1" applyFont="1" applyBorder="1" applyAlignment="1" applyProtection="1">
      <alignment horizontal="center"/>
    </xf>
    <xf numFmtId="0" fontId="123" fillId="24" borderId="9" xfId="0" applyFont="1" applyFill="1" applyBorder="1" applyAlignment="1" applyProtection="1">
      <alignment horizontal="center"/>
    </xf>
    <xf numFmtId="0" fontId="123" fillId="24" borderId="11" xfId="0" applyFont="1" applyFill="1" applyBorder="1" applyAlignment="1" applyProtection="1">
      <alignment horizontal="center"/>
    </xf>
    <xf numFmtId="0" fontId="125" fillId="24" borderId="9" xfId="0" applyFont="1" applyFill="1" applyBorder="1" applyAlignment="1" applyProtection="1">
      <alignment horizontal="center" vertical="center" wrapText="1"/>
    </xf>
    <xf numFmtId="0" fontId="125" fillId="24" borderId="11" xfId="0" applyFont="1" applyFill="1" applyBorder="1" applyAlignment="1" applyProtection="1">
      <alignment horizontal="center" vertical="center" wrapText="1"/>
    </xf>
    <xf numFmtId="0" fontId="81" fillId="24" borderId="27" xfId="0" applyFont="1" applyFill="1" applyBorder="1" applyAlignment="1" applyProtection="1">
      <alignment horizontal="center" vertical="center" wrapText="1"/>
    </xf>
    <xf numFmtId="0" fontId="115" fillId="24" borderId="21" xfId="0" applyFont="1" applyFill="1" applyBorder="1" applyAlignment="1" applyProtection="1">
      <alignment horizontal="center" vertical="center" wrapText="1"/>
    </xf>
    <xf numFmtId="0" fontId="115" fillId="24" borderId="3" xfId="0" applyFont="1" applyFill="1" applyBorder="1" applyAlignment="1" applyProtection="1">
      <alignment horizontal="center" vertical="center" wrapText="1"/>
    </xf>
    <xf numFmtId="0" fontId="115" fillId="24" borderId="19" xfId="0" applyFont="1" applyFill="1" applyBorder="1" applyAlignment="1" applyProtection="1">
      <alignment horizontal="center" vertical="center" wrapText="1"/>
    </xf>
    <xf numFmtId="0" fontId="69" fillId="7" borderId="21" xfId="0" applyFont="1" applyFill="1" applyBorder="1" applyAlignment="1" applyProtection="1">
      <alignment horizontal="center" vertical="center" wrapText="1"/>
      <protection locked="0"/>
    </xf>
    <xf numFmtId="0" fontId="127" fillId="0" borderId="21" xfId="0" applyFont="1" applyBorder="1" applyAlignment="1" applyProtection="1">
      <alignment horizontal="center" vertical="center" wrapText="1"/>
    </xf>
    <xf numFmtId="0" fontId="127" fillId="0" borderId="19" xfId="0" applyFont="1" applyBorder="1" applyAlignment="1" applyProtection="1">
      <alignment horizontal="center" vertical="center" wrapText="1"/>
    </xf>
    <xf numFmtId="2" fontId="127" fillId="0" borderId="21" xfId="0" applyNumberFormat="1" applyFont="1" applyBorder="1" applyAlignment="1" applyProtection="1">
      <alignment horizontal="center"/>
    </xf>
    <xf numFmtId="2" fontId="127" fillId="0" borderId="19" xfId="0" applyNumberFormat="1" applyFont="1" applyBorder="1" applyAlignment="1" applyProtection="1">
      <alignment horizontal="center"/>
    </xf>
    <xf numFmtId="0" fontId="9" fillId="0" borderId="44" xfId="0" applyFont="1" applyBorder="1" applyAlignment="1" applyProtection="1">
      <alignment horizontal="center" vertical="center" wrapText="1"/>
    </xf>
    <xf numFmtId="0" fontId="199" fillId="0" borderId="9" xfId="0" applyFont="1" applyBorder="1" applyAlignment="1" applyProtection="1">
      <alignment horizontal="center" vertical="center" wrapText="1"/>
      <protection locked="0"/>
    </xf>
    <xf numFmtId="0" fontId="199" fillId="0" borderId="8" xfId="0" applyFont="1" applyBorder="1" applyAlignment="1" applyProtection="1">
      <alignment horizontal="center" vertical="center" wrapText="1"/>
      <protection locked="0"/>
    </xf>
    <xf numFmtId="0" fontId="199" fillId="0" borderId="11" xfId="0" applyFont="1" applyBorder="1" applyAlignment="1" applyProtection="1">
      <alignment horizontal="center" vertical="center" wrapText="1"/>
      <protection locked="0"/>
    </xf>
    <xf numFmtId="0" fontId="69" fillId="7" borderId="5" xfId="0" applyFont="1" applyFill="1" applyBorder="1" applyAlignment="1" applyProtection="1">
      <alignment horizontal="center" vertical="center" wrapText="1"/>
      <protection locked="0"/>
    </xf>
    <xf numFmtId="0" fontId="69" fillId="7" borderId="43" xfId="0" applyFont="1" applyFill="1" applyBorder="1" applyAlignment="1" applyProtection="1">
      <alignment horizontal="center" vertical="center"/>
      <protection locked="0"/>
    </xf>
    <xf numFmtId="0" fontId="69" fillId="7" borderId="16" xfId="0" applyFont="1" applyFill="1" applyBorder="1" applyAlignment="1" applyProtection="1">
      <alignment horizontal="center" vertical="center"/>
      <protection locked="0"/>
    </xf>
    <xf numFmtId="0" fontId="13" fillId="3" borderId="168" xfId="0" applyFont="1" applyFill="1" applyBorder="1" applyAlignment="1" applyProtection="1">
      <alignment horizontal="center" vertical="center" wrapText="1"/>
    </xf>
    <xf numFmtId="0" fontId="116" fillId="24" borderId="42" xfId="0" applyFont="1" applyFill="1" applyBorder="1" applyAlignment="1" applyProtection="1">
      <alignment horizontal="center" vertical="center" wrapText="1"/>
    </xf>
    <xf numFmtId="0" fontId="116" fillId="24" borderId="8" xfId="0" applyFont="1" applyFill="1" applyBorder="1" applyAlignment="1" applyProtection="1">
      <alignment horizontal="center" vertical="center" wrapText="1"/>
    </xf>
    <xf numFmtId="0" fontId="116" fillId="24" borderId="11" xfId="0" applyFont="1" applyFill="1" applyBorder="1" applyAlignment="1" applyProtection="1">
      <alignment horizontal="center" vertical="center" wrapText="1"/>
    </xf>
    <xf numFmtId="0" fontId="72" fillId="24" borderId="9" xfId="0" applyFont="1" applyFill="1" applyBorder="1" applyAlignment="1" applyProtection="1">
      <alignment horizontal="center" vertical="center"/>
    </xf>
    <xf numFmtId="0" fontId="72" fillId="24" borderId="23" xfId="0" applyFont="1" applyFill="1" applyBorder="1" applyAlignment="1" applyProtection="1">
      <alignment horizontal="center" vertical="center"/>
    </xf>
    <xf numFmtId="2" fontId="3" fillId="0" borderId="21" xfId="0" applyNumberFormat="1" applyFont="1" applyBorder="1" applyAlignment="1" applyProtection="1">
      <alignment horizontal="center"/>
    </xf>
    <xf numFmtId="2" fontId="3" fillId="0" borderId="4" xfId="0" applyNumberFormat="1" applyFont="1" applyBorder="1" applyAlignment="1" applyProtection="1">
      <alignment horizontal="center"/>
    </xf>
    <xf numFmtId="0" fontId="127" fillId="0" borderId="9" xfId="0" applyFont="1" applyBorder="1" applyAlignment="1" applyProtection="1">
      <alignment horizontal="center" vertical="center" wrapText="1"/>
    </xf>
    <xf numFmtId="0" fontId="127" fillId="0" borderId="11" xfId="0" applyFont="1" applyBorder="1" applyAlignment="1" applyProtection="1">
      <alignment horizontal="center" vertical="center" wrapText="1"/>
    </xf>
    <xf numFmtId="2" fontId="127" fillId="0" borderId="9" xfId="0" applyNumberFormat="1" applyFont="1" applyBorder="1" applyAlignment="1" applyProtection="1">
      <alignment horizontal="center"/>
    </xf>
    <xf numFmtId="2" fontId="127" fillId="0" borderId="11" xfId="0" applyNumberFormat="1" applyFont="1" applyBorder="1" applyAlignment="1" applyProtection="1">
      <alignment horizontal="center"/>
    </xf>
    <xf numFmtId="175" fontId="3" fillId="0" borderId="9" xfId="0" applyNumberFormat="1" applyFont="1" applyFill="1" applyBorder="1" applyAlignment="1" applyProtection="1">
      <alignment horizontal="center"/>
    </xf>
    <xf numFmtId="175" fontId="3" fillId="0" borderId="23" xfId="0" applyNumberFormat="1" applyFont="1" applyFill="1" applyBorder="1" applyAlignment="1" applyProtection="1">
      <alignment horizontal="center"/>
    </xf>
    <xf numFmtId="0" fontId="81" fillId="24" borderId="40" xfId="0" applyFont="1" applyFill="1" applyBorder="1" applyAlignment="1" applyProtection="1">
      <alignment horizontal="center" vertical="center"/>
    </xf>
    <xf numFmtId="0" fontId="81" fillId="24" borderId="3" xfId="0" applyFont="1" applyFill="1" applyBorder="1" applyAlignment="1" applyProtection="1">
      <alignment horizontal="center" vertical="center"/>
    </xf>
    <xf numFmtId="0" fontId="81" fillId="24" borderId="4" xfId="0" applyFont="1" applyFill="1" applyBorder="1" applyAlignment="1" applyProtection="1">
      <alignment horizontal="center" vertical="center"/>
    </xf>
    <xf numFmtId="0" fontId="69" fillId="7" borderId="9" xfId="0" applyFont="1" applyFill="1" applyBorder="1" applyAlignment="1" applyProtection="1">
      <alignment horizontal="center" vertical="center" wrapText="1"/>
      <protection locked="0"/>
    </xf>
    <xf numFmtId="0" fontId="72" fillId="24" borderId="44" xfId="0" applyFont="1" applyFill="1" applyBorder="1" applyAlignment="1" applyProtection="1">
      <alignment horizontal="center" vertical="center"/>
    </xf>
    <xf numFmtId="0" fontId="72" fillId="24" borderId="24" xfId="0" applyFont="1" applyFill="1" applyBorder="1" applyAlignment="1" applyProtection="1">
      <alignment horizontal="center" vertical="center"/>
    </xf>
    <xf numFmtId="0" fontId="72" fillId="24" borderId="25" xfId="0" applyFont="1" applyFill="1" applyBorder="1" applyAlignment="1" applyProtection="1">
      <alignment horizontal="center" vertical="center"/>
    </xf>
    <xf numFmtId="0" fontId="69" fillId="7" borderId="54" xfId="0" applyFont="1" applyFill="1" applyBorder="1" applyAlignment="1" applyProtection="1">
      <alignment horizontal="center" vertical="center"/>
      <protection locked="0"/>
    </xf>
    <xf numFmtId="0" fontId="69" fillId="7" borderId="5" xfId="0" applyFont="1" applyFill="1" applyBorder="1" applyAlignment="1" applyProtection="1">
      <alignment horizontal="center" vertical="center"/>
      <protection locked="0"/>
    </xf>
    <xf numFmtId="0" fontId="69" fillId="7" borderId="12" xfId="0" applyFont="1" applyFill="1" applyBorder="1" applyAlignment="1" applyProtection="1">
      <alignment horizontal="center" vertical="center"/>
      <protection locked="0"/>
    </xf>
    <xf numFmtId="0" fontId="72" fillId="0" borderId="0" xfId="0" applyFont="1" applyBorder="1" applyAlignment="1" applyProtection="1">
      <alignment horizontal="justify" vertical="center" wrapText="1"/>
    </xf>
    <xf numFmtId="0" fontId="1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70" fillId="7" borderId="14" xfId="0" applyFont="1" applyFill="1" applyBorder="1" applyAlignment="1" applyProtection="1">
      <alignment horizontal="center" vertical="center" wrapText="1"/>
      <protection locked="0"/>
    </xf>
    <xf numFmtId="0" fontId="70" fillId="7" borderId="32" xfId="0" applyFont="1" applyFill="1" applyBorder="1" applyAlignment="1" applyProtection="1">
      <alignment horizontal="center" vertical="center" wrapText="1"/>
      <protection locked="0"/>
    </xf>
    <xf numFmtId="0" fontId="48" fillId="0" borderId="163" xfId="0" applyFont="1" applyBorder="1" applyAlignment="1" applyProtection="1">
      <alignment vertical="center" wrapText="1"/>
    </xf>
    <xf numFmtId="0" fontId="48" fillId="0" borderId="50" xfId="0" applyFont="1" applyBorder="1" applyAlignment="1" applyProtection="1">
      <alignment vertical="center" wrapText="1"/>
    </xf>
    <xf numFmtId="0" fontId="70" fillId="7" borderId="35" xfId="0" applyFont="1" applyFill="1" applyBorder="1" applyAlignment="1" applyProtection="1">
      <alignment horizontal="center" vertical="center" wrapText="1"/>
      <protection locked="0"/>
    </xf>
    <xf numFmtId="0" fontId="70" fillId="7" borderId="21" xfId="0" applyFont="1" applyFill="1" applyBorder="1" applyAlignment="1" applyProtection="1">
      <alignment horizontal="center" vertical="center"/>
      <protection locked="0"/>
    </xf>
    <xf numFmtId="0" fontId="70" fillId="7" borderId="36"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wrapText="1"/>
    </xf>
    <xf numFmtId="0" fontId="2" fillId="4" borderId="0" xfId="0" applyFont="1" applyFill="1" applyBorder="1" applyAlignment="1" applyProtection="1">
      <alignment vertical="center" wrapText="1"/>
    </xf>
    <xf numFmtId="0" fontId="2" fillId="4" borderId="28" xfId="0" applyFont="1" applyFill="1" applyBorder="1" applyAlignment="1" applyProtection="1">
      <alignment vertical="center" wrapText="1"/>
    </xf>
    <xf numFmtId="0" fontId="9" fillId="0" borderId="179"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15" xfId="0" applyFont="1" applyBorder="1" applyAlignment="1" applyProtection="1">
      <alignment vertical="center" wrapText="1"/>
    </xf>
    <xf numFmtId="0" fontId="9" fillId="0" borderId="178" xfId="0" applyFont="1" applyBorder="1" applyAlignment="1" applyProtection="1">
      <alignment vertical="center" wrapText="1"/>
    </xf>
    <xf numFmtId="0" fontId="9" fillId="0" borderId="41"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 fillId="24" borderId="131" xfId="0" applyFont="1" applyFill="1" applyBorder="1" applyAlignment="1" applyProtection="1">
      <alignment horizontal="center" vertical="center"/>
    </xf>
    <xf numFmtId="0" fontId="2" fillId="24" borderId="93" xfId="0" applyFont="1" applyFill="1" applyBorder="1" applyAlignment="1" applyProtection="1">
      <alignment horizontal="center" vertical="center"/>
    </xf>
    <xf numFmtId="0" fontId="2" fillId="24" borderId="44" xfId="0" applyFont="1" applyFill="1" applyBorder="1" applyAlignment="1" applyProtection="1">
      <alignment horizontal="center" vertical="center"/>
    </xf>
    <xf numFmtId="0" fontId="2" fillId="24" borderId="22" xfId="0" applyFont="1" applyFill="1" applyBorder="1" applyAlignment="1" applyProtection="1">
      <alignment horizontal="center" vertical="center"/>
    </xf>
    <xf numFmtId="0" fontId="9" fillId="0" borderId="15" xfId="0" applyFont="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90"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2" fillId="4" borderId="24" xfId="0" applyFont="1" applyFill="1" applyBorder="1" applyAlignment="1" applyProtection="1">
      <alignment horizontal="left" vertical="center" wrapText="1"/>
    </xf>
    <xf numFmtId="0" fontId="2" fillId="4" borderId="22" xfId="0" applyFont="1" applyFill="1" applyBorder="1" applyAlignment="1" applyProtection="1">
      <alignment horizontal="left" vertical="center" wrapText="1"/>
    </xf>
    <xf numFmtId="0" fontId="49" fillId="0" borderId="56" xfId="0" applyFont="1" applyBorder="1" applyAlignment="1" applyProtection="1">
      <alignment vertical="center" wrapText="1"/>
    </xf>
    <xf numFmtId="0" fontId="49" fillId="0" borderId="68" xfId="0" applyFont="1" applyBorder="1" applyAlignment="1" applyProtection="1">
      <alignment vertical="center" wrapText="1"/>
    </xf>
    <xf numFmtId="0" fontId="6" fillId="7" borderId="9" xfId="0" applyNumberFormat="1" applyFont="1" applyFill="1" applyBorder="1" applyAlignment="1" applyProtection="1">
      <alignment horizontal="center" vertical="center" wrapText="1"/>
      <protection locked="0"/>
    </xf>
    <xf numFmtId="0" fontId="112" fillId="24" borderId="131" xfId="0" applyFont="1" applyFill="1" applyBorder="1" applyAlignment="1" applyProtection="1">
      <alignment horizontal="center" vertical="center" wrapText="1"/>
    </xf>
    <xf numFmtId="0" fontId="112" fillId="24" borderId="45" xfId="0" applyFont="1" applyFill="1" applyBorder="1" applyAlignment="1" applyProtection="1">
      <alignment horizontal="center" vertical="center" wrapText="1"/>
    </xf>
    <xf numFmtId="0" fontId="112" fillId="24" borderId="140" xfId="0" applyFont="1" applyFill="1" applyBorder="1" applyAlignment="1" applyProtection="1">
      <alignment horizontal="center" vertical="center" wrapText="1"/>
    </xf>
    <xf numFmtId="0" fontId="6" fillId="7" borderId="25" xfId="0" applyNumberFormat="1" applyFont="1" applyFill="1" applyBorder="1" applyAlignment="1" applyProtection="1">
      <alignment horizontal="center" vertical="center" wrapText="1"/>
      <protection locked="0"/>
    </xf>
    <xf numFmtId="0" fontId="9" fillId="0" borderId="13" xfId="0" applyFont="1" applyFill="1" applyBorder="1" applyAlignment="1" applyProtection="1">
      <alignment vertical="center" wrapText="1"/>
    </xf>
    <xf numFmtId="0" fontId="9" fillId="0" borderId="129" xfId="0" applyFont="1" applyBorder="1" applyAlignment="1" applyProtection="1">
      <alignment vertical="center" wrapText="1"/>
    </xf>
    <xf numFmtId="0" fontId="9" fillId="0" borderId="2" xfId="0" applyFont="1" applyBorder="1" applyAlignment="1" applyProtection="1">
      <alignment vertical="center" wrapText="1"/>
    </xf>
    <xf numFmtId="0" fontId="9" fillId="0" borderId="74" xfId="0" applyFont="1" applyBorder="1" applyAlignment="1" applyProtection="1">
      <alignment vertical="center" wrapText="1"/>
    </xf>
    <xf numFmtId="0" fontId="9" fillId="0" borderId="7" xfId="0" applyFont="1" applyBorder="1" applyAlignment="1" applyProtection="1">
      <alignment vertical="center" wrapText="1"/>
    </xf>
    <xf numFmtId="0" fontId="12" fillId="24" borderId="40" xfId="0" applyFont="1" applyFill="1" applyBorder="1" applyAlignment="1" applyProtection="1">
      <alignment horizontal="center" vertical="center" wrapText="1"/>
    </xf>
    <xf numFmtId="0" fontId="12" fillId="24" borderId="3" xfId="0" applyFont="1" applyFill="1" applyBorder="1" applyAlignment="1" applyProtection="1">
      <alignment horizontal="center" vertical="center" wrapText="1"/>
    </xf>
    <xf numFmtId="0" fontId="12" fillId="24" borderId="4" xfId="0" applyFont="1" applyFill="1" applyBorder="1" applyAlignment="1" applyProtection="1">
      <alignment horizontal="center" vertical="center" wrapText="1"/>
    </xf>
    <xf numFmtId="0" fontId="9" fillId="0" borderId="21" xfId="0" applyFont="1" applyBorder="1" applyAlignment="1" applyProtection="1">
      <alignment vertical="center" wrapText="1"/>
    </xf>
    <xf numFmtId="0" fontId="9" fillId="0" borderId="4" xfId="0" applyFont="1" applyBorder="1" applyAlignment="1" applyProtection="1">
      <alignment vertical="center" wrapText="1"/>
    </xf>
    <xf numFmtId="0" fontId="2" fillId="6" borderId="158" xfId="0" applyFont="1" applyFill="1" applyBorder="1" applyAlignment="1">
      <alignment horizontal="center" vertical="center" wrapText="1"/>
    </xf>
    <xf numFmtId="0" fontId="2" fillId="6" borderId="106" xfId="0" applyFont="1" applyFill="1" applyBorder="1" applyAlignment="1">
      <alignment horizontal="center" vertical="center" wrapText="1"/>
    </xf>
    <xf numFmtId="0" fontId="2" fillId="6" borderId="84" xfId="0" applyFont="1" applyFill="1" applyBorder="1" applyAlignment="1">
      <alignment horizontal="center" vertical="center" wrapText="1"/>
    </xf>
    <xf numFmtId="0" fontId="285" fillId="0" borderId="0" xfId="0" applyFont="1" applyAlignment="1">
      <alignment vertical="center" wrapText="1"/>
    </xf>
    <xf numFmtId="0" fontId="285" fillId="0" borderId="56" xfId="0" applyFont="1" applyBorder="1" applyAlignment="1">
      <alignment vertical="center" wrapText="1"/>
    </xf>
    <xf numFmtId="0" fontId="11" fillId="6" borderId="192" xfId="0" applyFont="1" applyFill="1" applyBorder="1" applyAlignment="1">
      <alignment horizontal="center" vertical="center"/>
    </xf>
    <xf numFmtId="0" fontId="11" fillId="6" borderId="193" xfId="0" applyFont="1" applyFill="1" applyBorder="1" applyAlignment="1">
      <alignment horizontal="center" vertical="center"/>
    </xf>
    <xf numFmtId="0" fontId="11" fillId="6" borderId="194" xfId="0" applyFont="1" applyFill="1" applyBorder="1" applyAlignment="1">
      <alignment horizontal="center" vertical="center"/>
    </xf>
    <xf numFmtId="0" fontId="11" fillId="6" borderId="57" xfId="0" applyFont="1" applyFill="1" applyBorder="1" applyAlignment="1">
      <alignment horizontal="center" vertical="center"/>
    </xf>
    <xf numFmtId="0" fontId="11" fillId="6" borderId="0" xfId="0" applyFont="1" applyFill="1" applyAlignment="1">
      <alignment horizontal="center" vertical="center"/>
    </xf>
    <xf numFmtId="0" fontId="11" fillId="6" borderId="28" xfId="0" applyFont="1" applyFill="1" applyBorder="1" applyAlignment="1">
      <alignment horizontal="center" vertical="center"/>
    </xf>
    <xf numFmtId="0" fontId="11" fillId="6" borderId="58"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22" xfId="0" applyFont="1" applyFill="1" applyBorder="1" applyAlignment="1">
      <alignment horizontal="center" vertical="center"/>
    </xf>
    <xf numFmtId="0" fontId="2" fillId="6" borderId="158" xfId="0" applyFont="1" applyFill="1" applyBorder="1" applyAlignment="1">
      <alignment horizontal="center" wrapText="1"/>
    </xf>
    <xf numFmtId="0" fontId="2" fillId="6" borderId="106" xfId="0" applyFont="1" applyFill="1" applyBorder="1" applyAlignment="1">
      <alignment horizontal="center" wrapText="1"/>
    </xf>
    <xf numFmtId="0" fontId="11" fillId="6" borderId="195" xfId="0" applyFont="1" applyFill="1" applyBorder="1" applyAlignment="1">
      <alignment horizontal="center" vertical="center"/>
    </xf>
    <xf numFmtId="0" fontId="11" fillId="6" borderId="51" xfId="0" applyFont="1" applyFill="1" applyBorder="1" applyAlignment="1">
      <alignment horizontal="center" vertical="center"/>
    </xf>
    <xf numFmtId="0" fontId="11" fillId="6" borderId="44" xfId="0" applyFont="1" applyFill="1" applyBorder="1" applyAlignment="1">
      <alignment horizontal="center" vertical="center"/>
    </xf>
    <xf numFmtId="0" fontId="2" fillId="6" borderId="196" xfId="0" applyFont="1" applyFill="1" applyBorder="1" applyAlignment="1">
      <alignment horizontal="center" wrapText="1"/>
    </xf>
    <xf numFmtId="0" fontId="2" fillId="6" borderId="197" xfId="0" applyFont="1" applyFill="1" applyBorder="1" applyAlignment="1">
      <alignment horizontal="center" wrapText="1"/>
    </xf>
    <xf numFmtId="0" fontId="2" fillId="0" borderId="69" xfId="0" applyFont="1" applyBorder="1" applyAlignment="1">
      <alignment horizontal="center" vertical="center" textRotation="90"/>
    </xf>
    <xf numFmtId="0" fontId="2" fillId="0" borderId="64" xfId="0" applyFont="1" applyBorder="1" applyAlignment="1">
      <alignment horizontal="center" vertical="center" textRotation="90"/>
    </xf>
    <xf numFmtId="0" fontId="2" fillId="0" borderId="65" xfId="0" applyFont="1" applyBorder="1" applyAlignment="1">
      <alignment horizontal="center" vertical="center" textRotation="90"/>
    </xf>
    <xf numFmtId="0" fontId="2" fillId="0" borderId="146" xfId="0" applyFont="1" applyBorder="1" applyAlignment="1">
      <alignment horizontal="center" vertical="center" textRotation="90"/>
    </xf>
    <xf numFmtId="0" fontId="2" fillId="0" borderId="106" xfId="0" applyFont="1" applyBorder="1" applyAlignment="1">
      <alignment horizontal="center" vertical="center" textRotation="90"/>
    </xf>
    <xf numFmtId="0" fontId="2" fillId="0" borderId="199" xfId="0" applyFont="1" applyBorder="1" applyAlignment="1">
      <alignment horizontal="center" vertical="center" textRotation="90"/>
    </xf>
    <xf numFmtId="0" fontId="2" fillId="0" borderId="85" xfId="0" applyFont="1" applyBorder="1" applyAlignment="1">
      <alignment horizontal="center" vertical="center" textRotation="90"/>
    </xf>
    <xf numFmtId="49" fontId="2" fillId="2" borderId="69" xfId="0" applyNumberFormat="1" applyFont="1" applyFill="1" applyBorder="1" applyAlignment="1">
      <alignment horizontal="center" vertical="center" textRotation="90"/>
    </xf>
    <xf numFmtId="49" fontId="2" fillId="2" borderId="64" xfId="0" applyNumberFormat="1" applyFont="1" applyFill="1" applyBorder="1" applyAlignment="1">
      <alignment horizontal="center" vertical="center" textRotation="90"/>
    </xf>
    <xf numFmtId="49" fontId="2" fillId="2" borderId="70" xfId="0" applyNumberFormat="1" applyFont="1" applyFill="1" applyBorder="1" applyAlignment="1">
      <alignment horizontal="center" vertical="center" textRotation="90"/>
    </xf>
    <xf numFmtId="0" fontId="2" fillId="2" borderId="69" xfId="0" applyFont="1" applyFill="1" applyBorder="1" applyAlignment="1">
      <alignment horizontal="center" vertical="center" textRotation="90"/>
    </xf>
    <xf numFmtId="0" fontId="2" fillId="2" borderId="64" xfId="0" applyFont="1" applyFill="1" applyBorder="1" applyAlignment="1">
      <alignment horizontal="center" vertical="center" textRotation="90"/>
    </xf>
    <xf numFmtId="0" fontId="2" fillId="2" borderId="70" xfId="0" applyFont="1" applyFill="1" applyBorder="1" applyAlignment="1">
      <alignment horizontal="center" vertical="center" textRotation="90"/>
    </xf>
  </cellXfs>
  <cellStyles count="4">
    <cellStyle name="Hyperkobling"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0000CC"/>
      <color rgb="FFCC00FF"/>
      <color rgb="FFFF66FF"/>
      <color rgb="FFC5FFFF"/>
      <color rgb="FF9933FF"/>
      <color rgb="FFFFFFE1"/>
      <color rgb="FFE5FFFF"/>
      <color rgb="FFFFCCFF"/>
      <color rgb="FF9900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46090</xdr:colOff>
      <xdr:row>40</xdr:row>
      <xdr:rowOff>41912</xdr:rowOff>
    </xdr:from>
    <xdr:to>
      <xdr:col>7</xdr:col>
      <xdr:colOff>376392</xdr:colOff>
      <xdr:row>47</xdr:row>
      <xdr:rowOff>96128</xdr:rowOff>
    </xdr:to>
    <xdr:pic>
      <xdr:nvPicPr>
        <xdr:cNvPr id="7" name="Bilde 6">
          <a:extLst>
            <a:ext uri="{FF2B5EF4-FFF2-40B4-BE49-F238E27FC236}">
              <a16:creationId xmlns:a16="http://schemas.microsoft.com/office/drawing/2014/main" id="{65B04D09-3658-82A8-4887-0061B6C31725}"/>
            </a:ext>
          </a:extLst>
        </xdr:cNvPr>
        <xdr:cNvPicPr>
          <a:picLocks noChangeAspect="1"/>
        </xdr:cNvPicPr>
      </xdr:nvPicPr>
      <xdr:blipFill>
        <a:blip xmlns:r="http://schemas.openxmlformats.org/officeDocument/2006/relationships" r:embed="rId1"/>
        <a:stretch>
          <a:fillRect/>
        </a:stretch>
      </xdr:blipFill>
      <xdr:spPr>
        <a:xfrm>
          <a:off x="46090" y="6586509"/>
          <a:ext cx="5653548" cy="1183389"/>
        </a:xfrm>
        <a:prstGeom prst="rect">
          <a:avLst/>
        </a:prstGeom>
      </xdr:spPr>
    </xdr:pic>
    <xdr:clientData/>
  </xdr:twoCellAnchor>
  <xdr:twoCellAnchor editAs="oneCell">
    <xdr:from>
      <xdr:col>0</xdr:col>
      <xdr:colOff>69134</xdr:colOff>
      <xdr:row>9</xdr:row>
      <xdr:rowOff>30725</xdr:rowOff>
    </xdr:from>
    <xdr:to>
      <xdr:col>7</xdr:col>
      <xdr:colOff>415612</xdr:colOff>
      <xdr:row>31</xdr:row>
      <xdr:rowOff>38406</xdr:rowOff>
    </xdr:to>
    <xdr:pic>
      <xdr:nvPicPr>
        <xdr:cNvPr id="27" name="Bilde 26">
          <a:extLst>
            <a:ext uri="{FF2B5EF4-FFF2-40B4-BE49-F238E27FC236}">
              <a16:creationId xmlns:a16="http://schemas.microsoft.com/office/drawing/2014/main" id="{86F87DEF-1061-43A6-BD7B-56CA25916440}"/>
            </a:ext>
          </a:extLst>
        </xdr:cNvPr>
        <xdr:cNvPicPr>
          <a:picLocks noChangeAspect="1"/>
        </xdr:cNvPicPr>
      </xdr:nvPicPr>
      <xdr:blipFill>
        <a:blip xmlns:r="http://schemas.openxmlformats.org/officeDocument/2006/relationships" r:embed="rId2"/>
        <a:stretch>
          <a:fillRect/>
        </a:stretch>
      </xdr:blipFill>
      <xdr:spPr>
        <a:xfrm>
          <a:off x="69134" y="998588"/>
          <a:ext cx="5669724" cy="3556513"/>
        </a:xfrm>
        <a:prstGeom prst="rect">
          <a:avLst/>
        </a:prstGeom>
      </xdr:spPr>
    </xdr:pic>
    <xdr:clientData/>
  </xdr:twoCellAnchor>
  <xdr:twoCellAnchor>
    <xdr:from>
      <xdr:col>1</xdr:col>
      <xdr:colOff>280410</xdr:colOff>
      <xdr:row>18</xdr:row>
      <xdr:rowOff>36018</xdr:rowOff>
    </xdr:from>
    <xdr:to>
      <xdr:col>5</xdr:col>
      <xdr:colOff>382563</xdr:colOff>
      <xdr:row>19</xdr:row>
      <xdr:rowOff>84495</xdr:rowOff>
    </xdr:to>
    <xdr:sp macro="" textlink="">
      <xdr:nvSpPr>
        <xdr:cNvPr id="4" name="Rektangel 3">
          <a:extLst>
            <a:ext uri="{FF2B5EF4-FFF2-40B4-BE49-F238E27FC236}">
              <a16:creationId xmlns:a16="http://schemas.microsoft.com/office/drawing/2014/main" id="{C53BD1E7-491B-4337-A0E8-700E74215F2B}"/>
            </a:ext>
          </a:extLst>
        </xdr:cNvPr>
        <xdr:cNvSpPr/>
      </xdr:nvSpPr>
      <xdr:spPr bwMode="auto">
        <a:xfrm>
          <a:off x="1041520" y="3018144"/>
          <a:ext cx="3146592" cy="208711"/>
        </a:xfrm>
        <a:prstGeom prst="rect">
          <a:avLst/>
        </a:prstGeom>
        <a:noFill/>
        <a:ln w="127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lang="nb-NO" sz="1100"/>
        </a:p>
      </xdr:txBody>
    </xdr:sp>
    <xdr:clientData/>
  </xdr:twoCellAnchor>
  <xdr:twoCellAnchor>
    <xdr:from>
      <xdr:col>6</xdr:col>
      <xdr:colOff>307258</xdr:colOff>
      <xdr:row>8</xdr:row>
      <xdr:rowOff>71991</xdr:rowOff>
    </xdr:from>
    <xdr:to>
      <xdr:col>6</xdr:col>
      <xdr:colOff>321192</xdr:colOff>
      <xdr:row>12</xdr:row>
      <xdr:rowOff>145948</xdr:rowOff>
    </xdr:to>
    <xdr:cxnSp macro="">
      <xdr:nvCxnSpPr>
        <xdr:cNvPr id="6" name="Rett pilkobling 5">
          <a:extLst>
            <a:ext uri="{FF2B5EF4-FFF2-40B4-BE49-F238E27FC236}">
              <a16:creationId xmlns:a16="http://schemas.microsoft.com/office/drawing/2014/main" id="{3A324D41-C553-42D6-BE55-BCDD8AD5E46E}"/>
            </a:ext>
          </a:extLst>
        </xdr:cNvPr>
        <xdr:cNvCxnSpPr/>
      </xdr:nvCxnSpPr>
      <xdr:spPr bwMode="auto">
        <a:xfrm flipH="1">
          <a:off x="4870040" y="1454652"/>
          <a:ext cx="13934" cy="719199"/>
        </a:xfrm>
        <a:prstGeom prst="straightConnector1">
          <a:avLst/>
        </a:prstGeom>
        <a:solidFill>
          <a:srgbClr val="FFFFFF"/>
        </a:solidFill>
        <a:ln w="12700" cap="flat" cmpd="sng" algn="ctr">
          <a:solidFill>
            <a:srgbClr val="FF0000"/>
          </a:solidFill>
          <a:prstDash val="solid"/>
          <a:round/>
          <a:headEnd type="none" w="med" len="med"/>
          <a:tailEnd type="triangle"/>
        </a:ln>
        <a:effectLst/>
      </xdr:spPr>
    </xdr:cxnSp>
    <xdr:clientData/>
  </xdr:twoCellAnchor>
  <xdr:twoCellAnchor>
    <xdr:from>
      <xdr:col>6</xdr:col>
      <xdr:colOff>528277</xdr:colOff>
      <xdr:row>21</xdr:row>
      <xdr:rowOff>14259</xdr:rowOff>
    </xdr:from>
    <xdr:to>
      <xdr:col>7</xdr:col>
      <xdr:colOff>182515</xdr:colOff>
      <xdr:row>22</xdr:row>
      <xdr:rowOff>52029</xdr:rowOff>
    </xdr:to>
    <xdr:cxnSp macro="">
      <xdr:nvCxnSpPr>
        <xdr:cNvPr id="10" name="Rett pilkobling 9">
          <a:extLst>
            <a:ext uri="{FF2B5EF4-FFF2-40B4-BE49-F238E27FC236}">
              <a16:creationId xmlns:a16="http://schemas.microsoft.com/office/drawing/2014/main" id="{925CD149-C94D-49AD-B1DE-137969D1B64F}"/>
            </a:ext>
          </a:extLst>
        </xdr:cNvPr>
        <xdr:cNvCxnSpPr/>
      </xdr:nvCxnSpPr>
      <xdr:spPr bwMode="auto">
        <a:xfrm flipV="1">
          <a:off x="5096855" y="3521969"/>
          <a:ext cx="415667" cy="200322"/>
        </a:xfrm>
        <a:prstGeom prst="straightConnector1">
          <a:avLst/>
        </a:prstGeom>
        <a:ln w="12700" cap="flat" cmpd="sng" algn="ctr">
          <a:solidFill>
            <a:schemeClr val="accent2"/>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7</xdr:col>
      <xdr:colOff>173810</xdr:colOff>
      <xdr:row>21</xdr:row>
      <xdr:rowOff>4070</xdr:rowOff>
    </xdr:from>
    <xdr:to>
      <xdr:col>8</xdr:col>
      <xdr:colOff>438527</xdr:colOff>
      <xdr:row>26</xdr:row>
      <xdr:rowOff>19433</xdr:rowOff>
    </xdr:to>
    <xdr:pic>
      <xdr:nvPicPr>
        <xdr:cNvPr id="11" name="Bilde 10">
          <a:extLst>
            <a:ext uri="{FF2B5EF4-FFF2-40B4-BE49-F238E27FC236}">
              <a16:creationId xmlns:a16="http://schemas.microsoft.com/office/drawing/2014/main" id="{B3232581-A0A2-44EE-817C-E124BD3FB713}"/>
            </a:ext>
          </a:extLst>
        </xdr:cNvPr>
        <xdr:cNvPicPr>
          <a:picLocks noChangeAspect="1"/>
        </xdr:cNvPicPr>
      </xdr:nvPicPr>
      <xdr:blipFill>
        <a:blip xmlns:r="http://schemas.openxmlformats.org/officeDocument/2006/relationships" r:embed="rId3"/>
        <a:stretch>
          <a:fillRect/>
        </a:stretch>
      </xdr:blipFill>
      <xdr:spPr>
        <a:xfrm>
          <a:off x="5521013" y="3469850"/>
          <a:ext cx="1000311" cy="816972"/>
        </a:xfrm>
        <a:prstGeom prst="rect">
          <a:avLst/>
        </a:prstGeom>
      </xdr:spPr>
    </xdr:pic>
    <xdr:clientData/>
  </xdr:twoCellAnchor>
  <xdr:twoCellAnchor>
    <xdr:from>
      <xdr:col>3</xdr:col>
      <xdr:colOff>656345</xdr:colOff>
      <xdr:row>6</xdr:row>
      <xdr:rowOff>138266</xdr:rowOff>
    </xdr:from>
    <xdr:to>
      <xdr:col>3</xdr:col>
      <xdr:colOff>691331</xdr:colOff>
      <xdr:row>18</xdr:row>
      <xdr:rowOff>24012</xdr:rowOff>
    </xdr:to>
    <xdr:cxnSp macro="">
      <xdr:nvCxnSpPr>
        <xdr:cNvPr id="14" name="Rett pilkobling 13">
          <a:extLst>
            <a:ext uri="{FF2B5EF4-FFF2-40B4-BE49-F238E27FC236}">
              <a16:creationId xmlns:a16="http://schemas.microsoft.com/office/drawing/2014/main" id="{035A1AB1-6CAE-4EFB-9152-AE190BA5F3DC}"/>
            </a:ext>
          </a:extLst>
        </xdr:cNvPr>
        <xdr:cNvCxnSpPr/>
      </xdr:nvCxnSpPr>
      <xdr:spPr bwMode="auto">
        <a:xfrm flipH="1">
          <a:off x="2937736" y="1198306"/>
          <a:ext cx="34986" cy="1844516"/>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twoCellAnchor>
    <xdr:from>
      <xdr:col>5</xdr:col>
      <xdr:colOff>526745</xdr:colOff>
      <xdr:row>18</xdr:row>
      <xdr:rowOff>58051</xdr:rowOff>
    </xdr:from>
    <xdr:to>
      <xdr:col>6</xdr:col>
      <xdr:colOff>96585</xdr:colOff>
      <xdr:row>19</xdr:row>
      <xdr:rowOff>35007</xdr:rowOff>
    </xdr:to>
    <xdr:sp macro="" textlink="">
      <xdr:nvSpPr>
        <xdr:cNvPr id="21" name="Ellipse 20">
          <a:extLst>
            <a:ext uri="{FF2B5EF4-FFF2-40B4-BE49-F238E27FC236}">
              <a16:creationId xmlns:a16="http://schemas.microsoft.com/office/drawing/2014/main" id="{5EAC27D4-F615-497B-8D33-797E671EA1EF}"/>
            </a:ext>
          </a:extLst>
        </xdr:cNvPr>
        <xdr:cNvSpPr/>
      </xdr:nvSpPr>
      <xdr:spPr bwMode="auto">
        <a:xfrm>
          <a:off x="4332841" y="2458819"/>
          <a:ext cx="331060" cy="137008"/>
        </a:xfrm>
        <a:prstGeom prst="ellipse">
          <a:avLst/>
        </a:prstGeom>
        <a:noFill/>
        <a:ln w="1905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lang="nb-NO" sz="1100"/>
        </a:p>
      </xdr:txBody>
    </xdr:sp>
    <xdr:clientData/>
  </xdr:twoCellAnchor>
  <xdr:twoCellAnchor>
    <xdr:from>
      <xdr:col>5</xdr:col>
      <xdr:colOff>697769</xdr:colOff>
      <xdr:row>7</xdr:row>
      <xdr:rowOff>5537</xdr:rowOff>
    </xdr:from>
    <xdr:to>
      <xdr:col>5</xdr:col>
      <xdr:colOff>703299</xdr:colOff>
      <xdr:row>18</xdr:row>
      <xdr:rowOff>50127</xdr:rowOff>
    </xdr:to>
    <xdr:cxnSp macro="">
      <xdr:nvCxnSpPr>
        <xdr:cNvPr id="22" name="Rett pilkobling 21">
          <a:extLst>
            <a:ext uri="{FF2B5EF4-FFF2-40B4-BE49-F238E27FC236}">
              <a16:creationId xmlns:a16="http://schemas.microsoft.com/office/drawing/2014/main" id="{066E59C0-3503-4CA8-80A5-C570B5A9226E}"/>
            </a:ext>
          </a:extLst>
        </xdr:cNvPr>
        <xdr:cNvCxnSpPr/>
      </xdr:nvCxnSpPr>
      <xdr:spPr bwMode="auto">
        <a:xfrm flipV="1">
          <a:off x="4518845" y="969113"/>
          <a:ext cx="5530" cy="1811145"/>
        </a:xfrm>
        <a:prstGeom prst="straightConnector1">
          <a:avLst/>
        </a:prstGeom>
        <a:ln w="12700" cap="flat" cmpd="sng" algn="ctr">
          <a:solidFill>
            <a:schemeClr val="accent2"/>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90091</xdr:colOff>
      <xdr:row>31</xdr:row>
      <xdr:rowOff>27576</xdr:rowOff>
    </xdr:from>
    <xdr:to>
      <xdr:col>7</xdr:col>
      <xdr:colOff>92177</xdr:colOff>
      <xdr:row>32</xdr:row>
      <xdr:rowOff>23044</xdr:rowOff>
    </xdr:to>
    <xdr:cxnSp macro="">
      <xdr:nvCxnSpPr>
        <xdr:cNvPr id="24" name="Rett pilkobling 23">
          <a:extLst>
            <a:ext uri="{FF2B5EF4-FFF2-40B4-BE49-F238E27FC236}">
              <a16:creationId xmlns:a16="http://schemas.microsoft.com/office/drawing/2014/main" id="{356EB72A-9513-453E-AD5A-021EEEC80FD9}"/>
            </a:ext>
          </a:extLst>
        </xdr:cNvPr>
        <xdr:cNvCxnSpPr/>
      </xdr:nvCxnSpPr>
      <xdr:spPr bwMode="auto">
        <a:xfrm flipH="1" flipV="1">
          <a:off x="5413337" y="5120378"/>
          <a:ext cx="2086" cy="156779"/>
        </a:xfrm>
        <a:prstGeom prst="straightConnector1">
          <a:avLst/>
        </a:prstGeom>
        <a:solidFill>
          <a:srgbClr val="FFFFFF"/>
        </a:solidFill>
        <a:ln w="12700" cap="flat" cmpd="sng" algn="ctr">
          <a:solidFill>
            <a:srgbClr val="FF0000"/>
          </a:solidFill>
          <a:prstDash val="solid"/>
          <a:round/>
          <a:headEnd type="none" w="med" len="med"/>
          <a:tailEnd type="triangle"/>
        </a:ln>
        <a:effectLst/>
      </xdr:spPr>
    </xdr:cxnSp>
    <xdr:clientData/>
  </xdr:twoCellAnchor>
  <xdr:twoCellAnchor>
    <xdr:from>
      <xdr:col>2</xdr:col>
      <xdr:colOff>364604</xdr:colOff>
      <xdr:row>6</xdr:row>
      <xdr:rowOff>7502</xdr:rowOff>
    </xdr:from>
    <xdr:to>
      <xdr:col>4</xdr:col>
      <xdr:colOff>747352</xdr:colOff>
      <xdr:row>6</xdr:row>
      <xdr:rowOff>130047</xdr:rowOff>
    </xdr:to>
    <xdr:sp macro="" textlink="">
      <xdr:nvSpPr>
        <xdr:cNvPr id="34" name="TekstSylinder 33">
          <a:extLst>
            <a:ext uri="{FF2B5EF4-FFF2-40B4-BE49-F238E27FC236}">
              <a16:creationId xmlns:a16="http://schemas.microsoft.com/office/drawing/2014/main" id="{AF9CBE81-222B-4671-8379-F8DD10F26C8E}"/>
            </a:ext>
          </a:extLst>
        </xdr:cNvPr>
        <xdr:cNvSpPr txBox="1"/>
      </xdr:nvSpPr>
      <xdr:spPr>
        <a:xfrm>
          <a:off x="1885531" y="1067542"/>
          <a:ext cx="1903676" cy="1225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nb-NO" sz="700">
              <a:solidFill>
                <a:srgbClr val="FF0000"/>
              </a:solidFill>
            </a:rPr>
            <a:t>Classification and ratings of the input parameter DJ</a:t>
          </a:r>
        </a:p>
      </xdr:txBody>
    </xdr:sp>
    <xdr:clientData/>
  </xdr:twoCellAnchor>
  <xdr:twoCellAnchor>
    <xdr:from>
      <xdr:col>5</xdr:col>
      <xdr:colOff>53768</xdr:colOff>
      <xdr:row>6</xdr:row>
      <xdr:rowOff>15363</xdr:rowOff>
    </xdr:from>
    <xdr:to>
      <xdr:col>6</xdr:col>
      <xdr:colOff>683648</xdr:colOff>
      <xdr:row>6</xdr:row>
      <xdr:rowOff>153630</xdr:rowOff>
    </xdr:to>
    <xdr:sp macro="" textlink="">
      <xdr:nvSpPr>
        <xdr:cNvPr id="36" name="TekstSylinder 35">
          <a:extLst>
            <a:ext uri="{FF2B5EF4-FFF2-40B4-BE49-F238E27FC236}">
              <a16:creationId xmlns:a16="http://schemas.microsoft.com/office/drawing/2014/main" id="{EFA4A410-A27B-4784-AD9F-83985E113AC7}"/>
            </a:ext>
          </a:extLst>
        </xdr:cNvPr>
        <xdr:cNvSpPr txBox="1"/>
      </xdr:nvSpPr>
      <xdr:spPr>
        <a:xfrm>
          <a:off x="3856087" y="1075403"/>
          <a:ext cx="1390343" cy="1382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nb-NO" sz="700"/>
            <a:t>Input of the rating for  DJ is required </a:t>
          </a:r>
        </a:p>
      </xdr:txBody>
    </xdr:sp>
    <xdr:clientData/>
  </xdr:twoCellAnchor>
  <xdr:twoCellAnchor>
    <xdr:from>
      <xdr:col>4</xdr:col>
      <xdr:colOff>260499</xdr:colOff>
      <xdr:row>31</xdr:row>
      <xdr:rowOff>72214</xdr:rowOff>
    </xdr:from>
    <xdr:to>
      <xdr:col>6</xdr:col>
      <xdr:colOff>348882</xdr:colOff>
      <xdr:row>32</xdr:row>
      <xdr:rowOff>138266</xdr:rowOff>
    </xdr:to>
    <xdr:sp macro="" textlink="">
      <xdr:nvSpPr>
        <xdr:cNvPr id="37" name="TekstSylinder 36">
          <a:extLst>
            <a:ext uri="{FF2B5EF4-FFF2-40B4-BE49-F238E27FC236}">
              <a16:creationId xmlns:a16="http://schemas.microsoft.com/office/drawing/2014/main" id="{F3B98F37-4395-477B-B151-FBC2EF336DA2}"/>
            </a:ext>
          </a:extLst>
        </xdr:cNvPr>
        <xdr:cNvSpPr txBox="1"/>
      </xdr:nvSpPr>
      <xdr:spPr>
        <a:xfrm>
          <a:off x="3302354" y="5165016"/>
          <a:ext cx="1609310" cy="2273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nb-NO" sz="700"/>
            <a:t>The spreadsheet applies assumed, common conditions where no input has been given</a:t>
          </a:r>
        </a:p>
      </xdr:txBody>
    </xdr:sp>
    <xdr:clientData/>
  </xdr:twoCellAnchor>
  <xdr:twoCellAnchor>
    <xdr:from>
      <xdr:col>5</xdr:col>
      <xdr:colOff>747602</xdr:colOff>
      <xdr:row>7</xdr:row>
      <xdr:rowOff>56031</xdr:rowOff>
    </xdr:from>
    <xdr:to>
      <xdr:col>6</xdr:col>
      <xdr:colOff>745101</xdr:colOff>
      <xdr:row>8</xdr:row>
      <xdr:rowOff>121831</xdr:rowOff>
    </xdr:to>
    <xdr:sp macro="" textlink="">
      <xdr:nvSpPr>
        <xdr:cNvPr id="38" name="TekstSylinder 37">
          <a:extLst>
            <a:ext uri="{FF2B5EF4-FFF2-40B4-BE49-F238E27FC236}">
              <a16:creationId xmlns:a16="http://schemas.microsoft.com/office/drawing/2014/main" id="{3902FF3A-01A4-4DFC-988B-15AB7725D708}"/>
            </a:ext>
          </a:extLst>
        </xdr:cNvPr>
        <xdr:cNvSpPr txBox="1"/>
      </xdr:nvSpPr>
      <xdr:spPr>
        <a:xfrm>
          <a:off x="4549921" y="1277382"/>
          <a:ext cx="757962" cy="2271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nb-NO" sz="700">
              <a:solidFill>
                <a:srgbClr val="FF0000"/>
              </a:solidFill>
            </a:rPr>
            <a:t>Input of the parameter ratings </a:t>
          </a:r>
        </a:p>
        <a:p>
          <a:pPr algn="ctr"/>
          <a:endParaRPr lang="nb-NO" sz="700">
            <a:solidFill>
              <a:srgbClr val="FF0000"/>
            </a:solidFill>
          </a:endParaRPr>
        </a:p>
      </xdr:txBody>
    </xdr:sp>
    <xdr:clientData/>
  </xdr:twoCellAnchor>
  <xdr:twoCellAnchor>
    <xdr:from>
      <xdr:col>7</xdr:col>
      <xdr:colOff>176811</xdr:colOff>
      <xdr:row>21</xdr:row>
      <xdr:rowOff>13675</xdr:rowOff>
    </xdr:from>
    <xdr:to>
      <xdr:col>8</xdr:col>
      <xdr:colOff>438527</xdr:colOff>
      <xdr:row>26</xdr:row>
      <xdr:rowOff>8138</xdr:rowOff>
    </xdr:to>
    <xdr:sp macro="" textlink="">
      <xdr:nvSpPr>
        <xdr:cNvPr id="40" name="Rektangel 39">
          <a:extLst>
            <a:ext uri="{FF2B5EF4-FFF2-40B4-BE49-F238E27FC236}">
              <a16:creationId xmlns:a16="http://schemas.microsoft.com/office/drawing/2014/main" id="{86A682A1-FCDD-4C2D-8DB4-398439BB5075}"/>
            </a:ext>
          </a:extLst>
        </xdr:cNvPr>
        <xdr:cNvSpPr/>
      </xdr:nvSpPr>
      <xdr:spPr bwMode="auto">
        <a:xfrm>
          <a:off x="5524014" y="3479455"/>
          <a:ext cx="997310" cy="796072"/>
        </a:xfrm>
        <a:prstGeom prst="rect">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nb-NO" sz="1100"/>
        </a:p>
      </xdr:txBody>
    </xdr:sp>
    <xdr:clientData/>
  </xdr:twoCellAnchor>
  <xdr:twoCellAnchor>
    <xdr:from>
      <xdr:col>0</xdr:col>
      <xdr:colOff>493082</xdr:colOff>
      <xdr:row>6</xdr:row>
      <xdr:rowOff>116061</xdr:rowOff>
    </xdr:from>
    <xdr:to>
      <xdr:col>2</xdr:col>
      <xdr:colOff>287963</xdr:colOff>
      <xdr:row>7</xdr:row>
      <xdr:rowOff>66455</xdr:rowOff>
    </xdr:to>
    <xdr:sp macro="" textlink="">
      <xdr:nvSpPr>
        <xdr:cNvPr id="41" name="TekstSylinder 40">
          <a:extLst>
            <a:ext uri="{FF2B5EF4-FFF2-40B4-BE49-F238E27FC236}">
              <a16:creationId xmlns:a16="http://schemas.microsoft.com/office/drawing/2014/main" id="{7F6AF11C-7CB4-4DC9-BD25-6B8D755879CB}"/>
            </a:ext>
          </a:extLst>
        </xdr:cNvPr>
        <xdr:cNvSpPr txBox="1"/>
      </xdr:nvSpPr>
      <xdr:spPr>
        <a:xfrm>
          <a:off x="493082" y="916481"/>
          <a:ext cx="1315679" cy="1104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nb-NO" sz="700"/>
            <a:t>Text can be given in the green cells</a:t>
          </a:r>
        </a:p>
      </xdr:txBody>
    </xdr:sp>
    <xdr:clientData/>
  </xdr:twoCellAnchor>
  <xdr:twoCellAnchor>
    <xdr:from>
      <xdr:col>1</xdr:col>
      <xdr:colOff>375508</xdr:colOff>
      <xdr:row>7</xdr:row>
      <xdr:rowOff>65620</xdr:rowOff>
    </xdr:from>
    <xdr:to>
      <xdr:col>1</xdr:col>
      <xdr:colOff>636846</xdr:colOff>
      <xdr:row>15</xdr:row>
      <xdr:rowOff>3072</xdr:rowOff>
    </xdr:to>
    <xdr:cxnSp macro="">
      <xdr:nvCxnSpPr>
        <xdr:cNvPr id="42" name="Rett pilkobling 41">
          <a:extLst>
            <a:ext uri="{FF2B5EF4-FFF2-40B4-BE49-F238E27FC236}">
              <a16:creationId xmlns:a16="http://schemas.microsoft.com/office/drawing/2014/main" id="{A938ADB4-3857-4B4A-AF09-20ADB4042EBF}"/>
            </a:ext>
          </a:extLst>
        </xdr:cNvPr>
        <xdr:cNvCxnSpPr/>
      </xdr:nvCxnSpPr>
      <xdr:spPr bwMode="auto">
        <a:xfrm>
          <a:off x="1135907" y="1026124"/>
          <a:ext cx="261338" cy="1218124"/>
        </a:xfrm>
        <a:prstGeom prst="straightConnector1">
          <a:avLst/>
        </a:prstGeom>
        <a:solidFill>
          <a:srgbClr val="FFFFFF"/>
        </a:solidFill>
        <a:ln w="12700" cap="flat" cmpd="sng" algn="ctr">
          <a:solidFill>
            <a:srgbClr val="FF0000"/>
          </a:solidFill>
          <a:prstDash val="solid"/>
          <a:round/>
          <a:headEnd type="none" w="med" len="med"/>
          <a:tailEnd type="oval"/>
        </a:ln>
        <a:effectLst/>
      </xdr:spPr>
    </xdr:cxnSp>
    <xdr:clientData/>
  </xdr:twoCellAnchor>
  <xdr:twoCellAnchor>
    <xdr:from>
      <xdr:col>7</xdr:col>
      <xdr:colOff>538775</xdr:colOff>
      <xdr:row>14</xdr:row>
      <xdr:rowOff>47154</xdr:rowOff>
    </xdr:from>
    <xdr:to>
      <xdr:col>8</xdr:col>
      <xdr:colOff>376391</xdr:colOff>
      <xdr:row>19</xdr:row>
      <xdr:rowOff>148293</xdr:rowOff>
    </xdr:to>
    <xdr:sp macro="" textlink="">
      <xdr:nvSpPr>
        <xdr:cNvPr id="45" name="TekstSylinder 44">
          <a:extLst>
            <a:ext uri="{FF2B5EF4-FFF2-40B4-BE49-F238E27FC236}">
              <a16:creationId xmlns:a16="http://schemas.microsoft.com/office/drawing/2014/main" id="{91AAA937-A159-4B57-98CA-215811C91944}"/>
            </a:ext>
          </a:extLst>
        </xdr:cNvPr>
        <xdr:cNvSpPr txBox="1"/>
      </xdr:nvSpPr>
      <xdr:spPr>
        <a:xfrm>
          <a:off x="5862021" y="2397678"/>
          <a:ext cx="567354" cy="9076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nb-NO" sz="700"/>
            <a:t>Classification and </a:t>
          </a:r>
          <a:r>
            <a:rPr lang="nb-NO" sz="700" b="1" i="0"/>
            <a:t>ratings</a:t>
          </a:r>
          <a:r>
            <a:rPr lang="nb-NO" sz="700"/>
            <a:t> of input parameter are shown in cells</a:t>
          </a:r>
          <a:r>
            <a:rPr lang="nb-NO" sz="700" baseline="0"/>
            <a:t> marked with a small, red triangle</a:t>
          </a:r>
          <a:endParaRPr lang="nb-NO" sz="700"/>
        </a:p>
      </xdr:txBody>
    </xdr:sp>
    <xdr:clientData/>
  </xdr:twoCellAnchor>
  <xdr:twoCellAnchor>
    <xdr:from>
      <xdr:col>8</xdr:col>
      <xdr:colOff>74371</xdr:colOff>
      <xdr:row>19</xdr:row>
      <xdr:rowOff>145856</xdr:rowOff>
    </xdr:from>
    <xdr:to>
      <xdr:col>8</xdr:col>
      <xdr:colOff>76578</xdr:colOff>
      <xdr:row>21</xdr:row>
      <xdr:rowOff>16622</xdr:rowOff>
    </xdr:to>
    <xdr:cxnSp macro="">
      <xdr:nvCxnSpPr>
        <xdr:cNvPr id="46" name="Rett pilkobling 45">
          <a:extLst>
            <a:ext uri="{FF2B5EF4-FFF2-40B4-BE49-F238E27FC236}">
              <a16:creationId xmlns:a16="http://schemas.microsoft.com/office/drawing/2014/main" id="{60534416-118D-4669-9155-C6DDCE6AD71B}"/>
            </a:ext>
          </a:extLst>
        </xdr:cNvPr>
        <xdr:cNvCxnSpPr/>
      </xdr:nvCxnSpPr>
      <xdr:spPr bwMode="auto">
        <a:xfrm flipH="1">
          <a:off x="6137290" y="3328461"/>
          <a:ext cx="2207" cy="195871"/>
        </a:xfrm>
        <a:prstGeom prst="straightConnector1">
          <a:avLst/>
        </a:prstGeom>
        <a:solidFill>
          <a:srgbClr val="FFFFFF"/>
        </a:solidFill>
        <a:ln w="12700" cap="flat" cmpd="sng" algn="ctr">
          <a:solidFill>
            <a:srgbClr val="FF0000"/>
          </a:solidFill>
          <a:prstDash val="solid"/>
          <a:round/>
          <a:headEnd type="none" w="med" len="med"/>
          <a:tailEnd type="triangle"/>
        </a:ln>
        <a:effectLst/>
      </xdr:spPr>
    </xdr:cxnSp>
    <xdr:clientData/>
  </xdr:twoCellAnchor>
  <xdr:twoCellAnchor>
    <xdr:from>
      <xdr:col>7</xdr:col>
      <xdr:colOff>446317</xdr:colOff>
      <xdr:row>8</xdr:row>
      <xdr:rowOff>107324</xdr:rowOff>
    </xdr:from>
    <xdr:to>
      <xdr:col>8</xdr:col>
      <xdr:colOff>389050</xdr:colOff>
      <xdr:row>13</xdr:row>
      <xdr:rowOff>78549</xdr:rowOff>
    </xdr:to>
    <xdr:sp macro="" textlink="">
      <xdr:nvSpPr>
        <xdr:cNvPr id="55" name="TekstSylinder 54">
          <a:extLst>
            <a:ext uri="{FF2B5EF4-FFF2-40B4-BE49-F238E27FC236}">
              <a16:creationId xmlns:a16="http://schemas.microsoft.com/office/drawing/2014/main" id="{A2C3BB7E-6A1A-4CE8-8E62-2969B0F6B32A}"/>
            </a:ext>
          </a:extLst>
        </xdr:cNvPr>
        <xdr:cNvSpPr txBox="1"/>
      </xdr:nvSpPr>
      <xdr:spPr>
        <a:xfrm>
          <a:off x="5799099" y="1395211"/>
          <a:ext cx="707416" cy="7761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nb-NO" sz="700"/>
            <a:t>Input of one or more of these 3 parameters give more accurate value for the </a:t>
          </a:r>
          <a:r>
            <a:rPr lang="nb-NO" sz="700" i="1"/>
            <a:t>Degree of jointing </a:t>
          </a:r>
          <a:r>
            <a:rPr lang="nb-NO" sz="700"/>
            <a:t>(DJ) </a:t>
          </a:r>
        </a:p>
      </xdr:txBody>
    </xdr:sp>
    <xdr:clientData/>
  </xdr:twoCellAnchor>
  <xdr:twoCellAnchor>
    <xdr:from>
      <xdr:col>6</xdr:col>
      <xdr:colOff>307459</xdr:colOff>
      <xdr:row>13</xdr:row>
      <xdr:rowOff>72038</xdr:rowOff>
    </xdr:from>
    <xdr:to>
      <xdr:col>7</xdr:col>
      <xdr:colOff>444233</xdr:colOff>
      <xdr:row>20</xdr:row>
      <xdr:rowOff>36106</xdr:rowOff>
    </xdr:to>
    <xdr:cxnSp macro="">
      <xdr:nvCxnSpPr>
        <xdr:cNvPr id="57" name="Rett pilkobling 56">
          <a:extLst>
            <a:ext uri="{FF2B5EF4-FFF2-40B4-BE49-F238E27FC236}">
              <a16:creationId xmlns:a16="http://schemas.microsoft.com/office/drawing/2014/main" id="{D58992E4-D4B4-4BF9-BA63-1336C7DADA09}"/>
            </a:ext>
          </a:extLst>
        </xdr:cNvPr>
        <xdr:cNvCxnSpPr/>
      </xdr:nvCxnSpPr>
      <xdr:spPr bwMode="auto">
        <a:xfrm flipH="1">
          <a:off x="4869854" y="1993046"/>
          <a:ext cx="897173" cy="1084657"/>
        </a:xfrm>
        <a:prstGeom prst="straightConnector1">
          <a:avLst/>
        </a:prstGeom>
        <a:solidFill>
          <a:srgbClr val="FFFFFF"/>
        </a:solidFill>
        <a:ln w="12700" cap="flat" cmpd="sng" algn="ctr">
          <a:solidFill>
            <a:srgbClr val="FF0000"/>
          </a:solidFill>
          <a:prstDash val="solid"/>
          <a:round/>
          <a:headEnd type="none" w="med" len="med"/>
          <a:tailEnd type="oval"/>
        </a:ln>
        <a:effectLst/>
      </xdr:spPr>
    </xdr:cxnSp>
    <xdr:clientData/>
  </xdr:twoCellAnchor>
  <xdr:twoCellAnchor>
    <xdr:from>
      <xdr:col>6</xdr:col>
      <xdr:colOff>348882</xdr:colOff>
      <xdr:row>32</xdr:row>
      <xdr:rowOff>23044</xdr:rowOff>
    </xdr:from>
    <xdr:to>
      <xdr:col>7</xdr:col>
      <xdr:colOff>92177</xdr:colOff>
      <xdr:row>32</xdr:row>
      <xdr:rowOff>24585</xdr:rowOff>
    </xdr:to>
    <xdr:cxnSp macro="">
      <xdr:nvCxnSpPr>
        <xdr:cNvPr id="65" name="Rett linje 64">
          <a:extLst>
            <a:ext uri="{FF2B5EF4-FFF2-40B4-BE49-F238E27FC236}">
              <a16:creationId xmlns:a16="http://schemas.microsoft.com/office/drawing/2014/main" id="{1018FE03-68DB-46B9-9A05-4365C1AD0B78}"/>
            </a:ext>
          </a:extLst>
        </xdr:cNvPr>
        <xdr:cNvCxnSpPr>
          <a:stCxn id="37" idx="3"/>
        </xdr:cNvCxnSpPr>
      </xdr:nvCxnSpPr>
      <xdr:spPr bwMode="auto">
        <a:xfrm flipV="1">
          <a:off x="4911664" y="5277157"/>
          <a:ext cx="503759" cy="1541"/>
        </a:xfrm>
        <a:prstGeom prst="line">
          <a:avLst/>
        </a:prstGeom>
        <a:solidFill>
          <a:srgbClr val="FFFFFF"/>
        </a:solidFill>
        <a:ln w="12700" cap="flat" cmpd="sng" algn="ctr">
          <a:solidFill>
            <a:srgbClr val="FF0000"/>
          </a:solidFill>
          <a:prstDash val="solid"/>
          <a:round/>
          <a:headEnd type="none" w="med" len="med"/>
          <a:tailEnd type="none" w="med" len="med"/>
        </a:ln>
        <a:effectLst/>
      </xdr:spPr>
    </xdr:cxnSp>
    <xdr:clientData/>
  </xdr:twoCellAnchor>
  <xdr:twoCellAnchor editAs="oneCell">
    <xdr:from>
      <xdr:col>7</xdr:col>
      <xdr:colOff>227317</xdr:colOff>
      <xdr:row>43</xdr:row>
      <xdr:rowOff>61452</xdr:rowOff>
    </xdr:from>
    <xdr:to>
      <xdr:col>8</xdr:col>
      <xdr:colOff>445524</xdr:colOff>
      <xdr:row>48</xdr:row>
      <xdr:rowOff>18007</xdr:rowOff>
    </xdr:to>
    <xdr:pic>
      <xdr:nvPicPr>
        <xdr:cNvPr id="68" name="Bilde 67">
          <a:extLst>
            <a:ext uri="{FF2B5EF4-FFF2-40B4-BE49-F238E27FC236}">
              <a16:creationId xmlns:a16="http://schemas.microsoft.com/office/drawing/2014/main" id="{FCF8182F-6276-4091-BE20-0F0A0AADE2C7}"/>
            </a:ext>
          </a:extLst>
        </xdr:cNvPr>
        <xdr:cNvPicPr>
          <a:picLocks noChangeAspect="1"/>
        </xdr:cNvPicPr>
      </xdr:nvPicPr>
      <xdr:blipFill>
        <a:blip xmlns:r="http://schemas.openxmlformats.org/officeDocument/2006/relationships" r:embed="rId4"/>
        <a:stretch>
          <a:fillRect/>
        </a:stretch>
      </xdr:blipFill>
      <xdr:spPr>
        <a:xfrm>
          <a:off x="5550563" y="7212883"/>
          <a:ext cx="947945" cy="763108"/>
        </a:xfrm>
        <a:prstGeom prst="rect">
          <a:avLst/>
        </a:prstGeom>
      </xdr:spPr>
    </xdr:pic>
    <xdr:clientData/>
  </xdr:twoCellAnchor>
  <xdr:twoCellAnchor>
    <xdr:from>
      <xdr:col>6</xdr:col>
      <xdr:colOff>535929</xdr:colOff>
      <xdr:row>43</xdr:row>
      <xdr:rowOff>53771</xdr:rowOff>
    </xdr:from>
    <xdr:to>
      <xdr:col>7</xdr:col>
      <xdr:colOff>253488</xdr:colOff>
      <xdr:row>45</xdr:row>
      <xdr:rowOff>106478</xdr:rowOff>
    </xdr:to>
    <xdr:cxnSp macro="">
      <xdr:nvCxnSpPr>
        <xdr:cNvPr id="70" name="Rett pilkobling 69">
          <a:extLst>
            <a:ext uri="{FF2B5EF4-FFF2-40B4-BE49-F238E27FC236}">
              <a16:creationId xmlns:a16="http://schemas.microsoft.com/office/drawing/2014/main" id="{2F7BA995-85BD-4486-8726-35D2905184F0}"/>
            </a:ext>
          </a:extLst>
        </xdr:cNvPr>
        <xdr:cNvCxnSpPr/>
      </xdr:nvCxnSpPr>
      <xdr:spPr bwMode="auto">
        <a:xfrm flipV="1">
          <a:off x="5098711" y="7205202"/>
          <a:ext cx="478023" cy="375328"/>
        </a:xfrm>
        <a:prstGeom prst="straightConnector1">
          <a:avLst/>
        </a:prstGeom>
        <a:ln w="12700" cap="flat" cmpd="sng" algn="ctr">
          <a:solidFill>
            <a:schemeClr val="accent2"/>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249538</xdr:colOff>
      <xdr:row>43</xdr:row>
      <xdr:rowOff>72439</xdr:rowOff>
    </xdr:from>
    <xdr:to>
      <xdr:col>8</xdr:col>
      <xdr:colOff>437843</xdr:colOff>
      <xdr:row>48</xdr:row>
      <xdr:rowOff>17725</xdr:rowOff>
    </xdr:to>
    <xdr:sp macro="" textlink="">
      <xdr:nvSpPr>
        <xdr:cNvPr id="75" name="Rektangel 74">
          <a:extLst>
            <a:ext uri="{FF2B5EF4-FFF2-40B4-BE49-F238E27FC236}">
              <a16:creationId xmlns:a16="http://schemas.microsoft.com/office/drawing/2014/main" id="{A682D412-3E19-40C7-9424-B45C442B194A}"/>
            </a:ext>
          </a:extLst>
        </xdr:cNvPr>
        <xdr:cNvSpPr/>
      </xdr:nvSpPr>
      <xdr:spPr bwMode="auto">
        <a:xfrm>
          <a:off x="5572784" y="7223870"/>
          <a:ext cx="918043" cy="751839"/>
        </a:xfrm>
        <a:prstGeom prst="rect">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lang="nb-NO" sz="1100"/>
        </a:p>
      </xdr:txBody>
    </xdr:sp>
    <xdr:clientData/>
  </xdr:twoCellAnchor>
  <xdr:twoCellAnchor editAs="oneCell">
    <xdr:from>
      <xdr:col>0</xdr:col>
      <xdr:colOff>38407</xdr:colOff>
      <xdr:row>50</xdr:row>
      <xdr:rowOff>7680</xdr:rowOff>
    </xdr:from>
    <xdr:to>
      <xdr:col>7</xdr:col>
      <xdr:colOff>337984</xdr:colOff>
      <xdr:row>52</xdr:row>
      <xdr:rowOff>4192</xdr:rowOff>
    </xdr:to>
    <xdr:pic>
      <xdr:nvPicPr>
        <xdr:cNvPr id="3" name="Bilde 2">
          <a:extLst>
            <a:ext uri="{FF2B5EF4-FFF2-40B4-BE49-F238E27FC236}">
              <a16:creationId xmlns:a16="http://schemas.microsoft.com/office/drawing/2014/main" id="{58D60F9A-A50D-79AE-7BEC-615785BA80AE}"/>
            </a:ext>
          </a:extLst>
        </xdr:cNvPr>
        <xdr:cNvPicPr>
          <a:picLocks noChangeAspect="1"/>
        </xdr:cNvPicPr>
      </xdr:nvPicPr>
      <xdr:blipFill>
        <a:blip xmlns:r="http://schemas.openxmlformats.org/officeDocument/2006/relationships" r:embed="rId5"/>
        <a:stretch>
          <a:fillRect/>
        </a:stretch>
      </xdr:blipFill>
      <xdr:spPr>
        <a:xfrm>
          <a:off x="38407" y="8326692"/>
          <a:ext cx="5622823" cy="319133"/>
        </a:xfrm>
        <a:prstGeom prst="rect">
          <a:avLst/>
        </a:prstGeom>
      </xdr:spPr>
    </xdr:pic>
    <xdr:clientData/>
  </xdr:twoCellAnchor>
  <xdr:twoCellAnchor editAs="oneCell">
    <xdr:from>
      <xdr:col>0</xdr:col>
      <xdr:colOff>46089</xdr:colOff>
      <xdr:row>35</xdr:row>
      <xdr:rowOff>30726</xdr:rowOff>
    </xdr:from>
    <xdr:to>
      <xdr:col>7</xdr:col>
      <xdr:colOff>414773</xdr:colOff>
      <xdr:row>36</xdr:row>
      <xdr:rowOff>153629</xdr:rowOff>
    </xdr:to>
    <xdr:pic>
      <xdr:nvPicPr>
        <xdr:cNvPr id="13" name="Bilde 12">
          <a:extLst>
            <a:ext uri="{FF2B5EF4-FFF2-40B4-BE49-F238E27FC236}">
              <a16:creationId xmlns:a16="http://schemas.microsoft.com/office/drawing/2014/main" id="{EDE15724-48AA-0B1F-D553-DEDBBFEF8270}"/>
            </a:ext>
          </a:extLst>
        </xdr:cNvPr>
        <xdr:cNvPicPr>
          <a:picLocks noChangeAspect="1"/>
        </xdr:cNvPicPr>
      </xdr:nvPicPr>
      <xdr:blipFill>
        <a:blip xmlns:r="http://schemas.openxmlformats.org/officeDocument/2006/relationships" r:embed="rId6"/>
        <a:stretch>
          <a:fillRect/>
        </a:stretch>
      </xdr:blipFill>
      <xdr:spPr>
        <a:xfrm>
          <a:off x="46089" y="5807178"/>
          <a:ext cx="5691930" cy="284213"/>
        </a:xfrm>
        <a:prstGeom prst="rect">
          <a:avLst/>
        </a:prstGeom>
      </xdr:spPr>
    </xdr:pic>
    <xdr:clientData/>
  </xdr:twoCellAnchor>
  <xdr:twoCellAnchor editAs="oneCell">
    <xdr:from>
      <xdr:col>9</xdr:col>
      <xdr:colOff>184356</xdr:colOff>
      <xdr:row>4</xdr:row>
      <xdr:rowOff>107540</xdr:rowOff>
    </xdr:from>
    <xdr:to>
      <xdr:col>16</xdr:col>
      <xdr:colOff>360106</xdr:colOff>
      <xdr:row>7</xdr:row>
      <xdr:rowOff>6764</xdr:rowOff>
    </xdr:to>
    <xdr:pic>
      <xdr:nvPicPr>
        <xdr:cNvPr id="2" name="Bilde 1">
          <a:extLst>
            <a:ext uri="{FF2B5EF4-FFF2-40B4-BE49-F238E27FC236}">
              <a16:creationId xmlns:a16="http://schemas.microsoft.com/office/drawing/2014/main" id="{561269EC-366C-0E41-0B36-0AD77121E66E}"/>
            </a:ext>
          </a:extLst>
        </xdr:cNvPr>
        <xdr:cNvPicPr>
          <a:picLocks noChangeAspect="1"/>
        </xdr:cNvPicPr>
      </xdr:nvPicPr>
      <xdr:blipFill>
        <a:blip xmlns:r="http://schemas.openxmlformats.org/officeDocument/2006/relationships" r:embed="rId7"/>
        <a:stretch>
          <a:fillRect/>
        </a:stretch>
      </xdr:blipFill>
      <xdr:spPr>
        <a:xfrm>
          <a:off x="6713590" y="844959"/>
          <a:ext cx="5498996" cy="383156"/>
        </a:xfrm>
        <a:prstGeom prst="rect">
          <a:avLst/>
        </a:prstGeom>
      </xdr:spPr>
    </xdr:pic>
    <xdr:clientData/>
  </xdr:twoCellAnchor>
  <xdr:twoCellAnchor>
    <xdr:from>
      <xdr:col>8</xdr:col>
      <xdr:colOff>437843</xdr:colOff>
      <xdr:row>2</xdr:row>
      <xdr:rowOff>145948</xdr:rowOff>
    </xdr:from>
    <xdr:to>
      <xdr:col>9</xdr:col>
      <xdr:colOff>184354</xdr:colOff>
      <xdr:row>4</xdr:row>
      <xdr:rowOff>92177</xdr:rowOff>
    </xdr:to>
    <xdr:cxnSp macro="">
      <xdr:nvCxnSpPr>
        <xdr:cNvPr id="8" name="Rett pilkobling 7">
          <a:extLst>
            <a:ext uri="{FF2B5EF4-FFF2-40B4-BE49-F238E27FC236}">
              <a16:creationId xmlns:a16="http://schemas.microsoft.com/office/drawing/2014/main" id="{F9609149-95D7-7F94-2287-FEAB8C9216FF}"/>
            </a:ext>
          </a:extLst>
        </xdr:cNvPr>
        <xdr:cNvCxnSpPr/>
      </xdr:nvCxnSpPr>
      <xdr:spPr bwMode="auto">
        <a:xfrm>
          <a:off x="6490827" y="560746"/>
          <a:ext cx="222761" cy="2688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469842</xdr:colOff>
      <xdr:row>7</xdr:row>
      <xdr:rowOff>85528</xdr:rowOff>
    </xdr:from>
    <xdr:to>
      <xdr:col>3</xdr:col>
      <xdr:colOff>414800</xdr:colOff>
      <xdr:row>8</xdr:row>
      <xdr:rowOff>53771</xdr:rowOff>
    </xdr:to>
    <xdr:sp macro="" textlink="">
      <xdr:nvSpPr>
        <xdr:cNvPr id="18" name="TekstSylinder 17">
          <a:extLst>
            <a:ext uri="{FF2B5EF4-FFF2-40B4-BE49-F238E27FC236}">
              <a16:creationId xmlns:a16="http://schemas.microsoft.com/office/drawing/2014/main" id="{23E4AB3E-F567-4DE1-8137-765BCF88C151}"/>
            </a:ext>
          </a:extLst>
        </xdr:cNvPr>
        <xdr:cNvSpPr txBox="1"/>
      </xdr:nvSpPr>
      <xdr:spPr>
        <a:xfrm>
          <a:off x="1990769" y="1306879"/>
          <a:ext cx="705422" cy="1295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nb-NO" sz="700"/>
            <a:t>Parameter rating </a:t>
          </a:r>
        </a:p>
        <a:p>
          <a:pPr algn="ctr"/>
          <a:endParaRPr lang="nb-NO" sz="700"/>
        </a:p>
      </xdr:txBody>
    </xdr:sp>
    <xdr:clientData/>
  </xdr:twoCellAnchor>
  <xdr:twoCellAnchor>
    <xdr:from>
      <xdr:col>3</xdr:col>
      <xdr:colOff>38407</xdr:colOff>
      <xdr:row>8</xdr:row>
      <xdr:rowOff>53771</xdr:rowOff>
    </xdr:from>
    <xdr:to>
      <xdr:col>3</xdr:col>
      <xdr:colOff>62089</xdr:colOff>
      <xdr:row>18</xdr:row>
      <xdr:rowOff>138267</xdr:rowOff>
    </xdr:to>
    <xdr:cxnSp macro="">
      <xdr:nvCxnSpPr>
        <xdr:cNvPr id="19" name="Rett pilkobling 18">
          <a:extLst>
            <a:ext uri="{FF2B5EF4-FFF2-40B4-BE49-F238E27FC236}">
              <a16:creationId xmlns:a16="http://schemas.microsoft.com/office/drawing/2014/main" id="{5A78B297-F9C4-4ADF-82C5-8939C869C3E3}"/>
            </a:ext>
          </a:extLst>
        </xdr:cNvPr>
        <xdr:cNvCxnSpPr>
          <a:stCxn id="18" idx="2"/>
        </xdr:cNvCxnSpPr>
      </xdr:nvCxnSpPr>
      <xdr:spPr bwMode="auto">
        <a:xfrm flipH="1">
          <a:off x="2319798" y="1436432"/>
          <a:ext cx="23682" cy="1720645"/>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6</xdr:row>
      <xdr:rowOff>12699</xdr:rowOff>
    </xdr:from>
    <xdr:to>
      <xdr:col>3</xdr:col>
      <xdr:colOff>370</xdr:colOff>
      <xdr:row>27</xdr:row>
      <xdr:rowOff>118295</xdr:rowOff>
    </xdr:to>
    <xdr:pic>
      <xdr:nvPicPr>
        <xdr:cNvPr id="5" name="Bilde 4">
          <a:extLst>
            <a:ext uri="{FF2B5EF4-FFF2-40B4-BE49-F238E27FC236}">
              <a16:creationId xmlns:a16="http://schemas.microsoft.com/office/drawing/2014/main" id="{C8C615C3-D83D-4535-8B4B-B502ED946C23}"/>
            </a:ext>
          </a:extLst>
        </xdr:cNvPr>
        <xdr:cNvPicPr>
          <a:picLocks noChangeAspect="1"/>
        </xdr:cNvPicPr>
      </xdr:nvPicPr>
      <xdr:blipFill>
        <a:blip xmlns:r="http://schemas.openxmlformats.org/officeDocument/2006/relationships" r:embed="rId1"/>
        <a:stretch>
          <a:fillRect/>
        </a:stretch>
      </xdr:blipFill>
      <xdr:spPr>
        <a:xfrm>
          <a:off x="173512" y="989939"/>
          <a:ext cx="729877" cy="3136277"/>
        </a:xfrm>
        <a:prstGeom prst="rect">
          <a:avLst/>
        </a:prstGeom>
      </xdr:spPr>
    </xdr:pic>
    <xdr:clientData/>
  </xdr:twoCellAnchor>
  <xdr:oneCellAnchor>
    <xdr:from>
      <xdr:col>8</xdr:col>
      <xdr:colOff>54172</xdr:colOff>
      <xdr:row>17</xdr:row>
      <xdr:rowOff>47019</xdr:rowOff>
    </xdr:from>
    <xdr:ext cx="1358129" cy="88422"/>
    <xdr:sp macro="" textlink="">
      <xdr:nvSpPr>
        <xdr:cNvPr id="8" name="TekstSylinder 7">
          <a:extLst>
            <a:ext uri="{FF2B5EF4-FFF2-40B4-BE49-F238E27FC236}">
              <a16:creationId xmlns:a16="http://schemas.microsoft.com/office/drawing/2014/main" id="{CD63D0B3-0D76-4200-A734-640A8E0DF815}"/>
            </a:ext>
          </a:extLst>
        </xdr:cNvPr>
        <xdr:cNvSpPr txBox="1"/>
      </xdr:nvSpPr>
      <xdr:spPr>
        <a:xfrm>
          <a:off x="3202370" y="2533415"/>
          <a:ext cx="1358129" cy="8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nb-NO" sz="600" b="0" i="1">
              <a:solidFill>
                <a:srgbClr val="0000CC"/>
              </a:solidFill>
              <a:latin typeface="Arial" panose="020B0604020202020204" pitchFamily="34" charset="0"/>
              <a:cs typeface="Arial" panose="020B0604020202020204" pitchFamily="34" charset="0"/>
            </a:rPr>
            <a:t>in an area of 25 - 50 m</a:t>
          </a:r>
          <a:r>
            <a:rPr lang="nb-NO" sz="600" b="0" i="1" baseline="30000">
              <a:solidFill>
                <a:srgbClr val="0000CC"/>
              </a:solidFill>
              <a:latin typeface="Arial" panose="020B0604020202020204" pitchFamily="34" charset="0"/>
              <a:cs typeface="Arial" panose="020B0604020202020204" pitchFamily="34" charset="0"/>
            </a:rPr>
            <a:t>2</a:t>
          </a:r>
          <a:r>
            <a:rPr lang="nb-NO" sz="600" b="0" i="1">
              <a:solidFill>
                <a:srgbClr val="0000CC"/>
              </a:solidFill>
              <a:latin typeface="Arial" panose="020B0604020202020204" pitchFamily="34" charset="0"/>
              <a:cs typeface="Arial" panose="020B0604020202020204" pitchFamily="34" charset="0"/>
            </a:rPr>
            <a:t> or</a:t>
          </a:r>
          <a:r>
            <a:rPr lang="nb-NO" sz="600" b="0" i="1" baseline="0">
              <a:solidFill>
                <a:srgbClr val="0000CC"/>
              </a:solidFill>
              <a:latin typeface="Arial" panose="020B0604020202020204" pitchFamily="34" charset="0"/>
              <a:cs typeface="Arial" panose="020B0604020202020204" pitchFamily="34" charset="0"/>
            </a:rPr>
            <a:t> 1 blast round</a:t>
          </a:r>
          <a:endParaRPr lang="nb-NO" sz="600" b="0" i="1">
            <a:solidFill>
              <a:srgbClr val="0000CC"/>
            </a:solidFill>
            <a:latin typeface="Arial" panose="020B0604020202020204" pitchFamily="34" charset="0"/>
            <a:cs typeface="Arial" panose="020B0604020202020204" pitchFamily="34" charset="0"/>
          </a:endParaRPr>
        </a:p>
      </xdr:txBody>
    </xdr:sp>
    <xdr:clientData/>
  </xdr:oneCellAnchor>
  <xdr:twoCellAnchor>
    <xdr:from>
      <xdr:col>11</xdr:col>
      <xdr:colOff>6707</xdr:colOff>
      <xdr:row>20</xdr:row>
      <xdr:rowOff>40490</xdr:rowOff>
    </xdr:from>
    <xdr:to>
      <xdr:col>11</xdr:col>
      <xdr:colOff>335585</xdr:colOff>
      <xdr:row>21</xdr:row>
      <xdr:rowOff>91977</xdr:rowOff>
    </xdr:to>
    <xdr:sp macro="" textlink="">
      <xdr:nvSpPr>
        <xdr:cNvPr id="23" name="TekstSylinder 22">
          <a:extLst>
            <a:ext uri="{FF2B5EF4-FFF2-40B4-BE49-F238E27FC236}">
              <a16:creationId xmlns:a16="http://schemas.microsoft.com/office/drawing/2014/main" id="{135A6ACD-669E-4FDB-945D-22A11D52AB50}"/>
            </a:ext>
          </a:extLst>
        </xdr:cNvPr>
        <xdr:cNvSpPr txBox="1"/>
      </xdr:nvSpPr>
      <xdr:spPr>
        <a:xfrm>
          <a:off x="4552730" y="2966026"/>
          <a:ext cx="328878" cy="206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nb-NO" sz="700">
              <a:latin typeface="Arial" panose="020B0604020202020204" pitchFamily="34" charset="0"/>
              <a:cs typeface="Arial" panose="020B0604020202020204" pitchFamily="34" charset="0"/>
            </a:rPr>
            <a:t>Jr </a:t>
          </a:r>
          <a:r>
            <a:rPr lang="nb-NO" sz="500">
              <a:latin typeface="Arial" panose="020B0604020202020204" pitchFamily="34" charset="0"/>
              <a:cs typeface="Arial" panose="020B0604020202020204" pitchFamily="34" charset="0"/>
            </a:rPr>
            <a:t>or</a:t>
          </a:r>
          <a:r>
            <a:rPr lang="nb-NO" sz="700">
              <a:latin typeface="Arial" panose="020B0604020202020204" pitchFamily="34" charset="0"/>
              <a:cs typeface="Arial" panose="020B0604020202020204" pitchFamily="34" charset="0"/>
            </a:rPr>
            <a:t> jR</a:t>
          </a:r>
        </a:p>
      </xdr:txBody>
    </xdr:sp>
    <xdr:clientData/>
  </xdr:twoCellAnchor>
  <xdr:twoCellAnchor>
    <xdr:from>
      <xdr:col>3</xdr:col>
      <xdr:colOff>5348</xdr:colOff>
      <xdr:row>13</xdr:row>
      <xdr:rowOff>13931</xdr:rowOff>
    </xdr:from>
    <xdr:to>
      <xdr:col>3</xdr:col>
      <xdr:colOff>109997</xdr:colOff>
      <xdr:row>15</xdr:row>
      <xdr:rowOff>123563</xdr:rowOff>
    </xdr:to>
    <xdr:sp macro="" textlink="">
      <xdr:nvSpPr>
        <xdr:cNvPr id="2" name="TekstSylinder 1">
          <a:extLst>
            <a:ext uri="{FF2B5EF4-FFF2-40B4-BE49-F238E27FC236}">
              <a16:creationId xmlns:a16="http://schemas.microsoft.com/office/drawing/2014/main" id="{BB65D907-A8CC-4206-9D7A-8048284A0276}"/>
            </a:ext>
          </a:extLst>
        </xdr:cNvPr>
        <xdr:cNvSpPr txBox="1"/>
      </xdr:nvSpPr>
      <xdr:spPr>
        <a:xfrm rot="16200000">
          <a:off x="782175" y="2119344"/>
          <a:ext cx="357034" cy="104649"/>
        </a:xfrm>
        <a:prstGeom prst="rect">
          <a:avLst/>
        </a:prstGeom>
        <a:solidFill>
          <a:srgbClr val="FFFFF3"/>
        </a:solidFill>
        <a:ln w="317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nb-NO" sz="700" b="0">
              <a:latin typeface="Arial Narrow" panose="020B0606020202030204" pitchFamily="34" charset="0"/>
            </a:rPr>
            <a:t>Definition</a:t>
          </a:r>
        </a:p>
      </xdr:txBody>
    </xdr:sp>
    <xdr:clientData/>
  </xdr:twoCellAnchor>
  <xdr:oneCellAnchor>
    <xdr:from>
      <xdr:col>0</xdr:col>
      <xdr:colOff>0</xdr:colOff>
      <xdr:row>41</xdr:row>
      <xdr:rowOff>1431</xdr:rowOff>
    </xdr:from>
    <xdr:ext cx="462835" cy="284049"/>
    <xdr:pic>
      <xdr:nvPicPr>
        <xdr:cNvPr id="14" name="Picture 3">
          <a:extLst>
            <a:ext uri="{FF2B5EF4-FFF2-40B4-BE49-F238E27FC236}">
              <a16:creationId xmlns:a16="http://schemas.microsoft.com/office/drawing/2014/main" id="{1014C1AC-CF5E-441C-8697-9685CDF48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74126"/>
          <a:ext cx="462835" cy="284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8158</xdr:colOff>
      <xdr:row>42</xdr:row>
      <xdr:rowOff>87976</xdr:rowOff>
    </xdr:from>
    <xdr:to>
      <xdr:col>1</xdr:col>
      <xdr:colOff>335387</xdr:colOff>
      <xdr:row>43</xdr:row>
      <xdr:rowOff>0</xdr:rowOff>
    </xdr:to>
    <xdr:sp macro="" textlink="">
      <xdr:nvSpPr>
        <xdr:cNvPr id="9" name="TekstSylinder 8">
          <a:extLst>
            <a:ext uri="{FF2B5EF4-FFF2-40B4-BE49-F238E27FC236}">
              <a16:creationId xmlns:a16="http://schemas.microsoft.com/office/drawing/2014/main" id="{7BA09909-EEE1-4DC0-A8F7-67B4C8C70D45}"/>
            </a:ext>
          </a:extLst>
        </xdr:cNvPr>
        <xdr:cNvSpPr txBox="1"/>
      </xdr:nvSpPr>
      <xdr:spPr>
        <a:xfrm>
          <a:off x="8158" y="6433853"/>
          <a:ext cx="488041" cy="72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nb-NO" sz="450"/>
            <a:t>A. Palmström, 2021</a:t>
          </a:r>
        </a:p>
      </xdr:txBody>
    </xdr:sp>
    <xdr:clientData/>
  </xdr:twoCellAnchor>
  <xdr:twoCellAnchor>
    <xdr:from>
      <xdr:col>12</xdr:col>
      <xdr:colOff>374046</xdr:colOff>
      <xdr:row>3</xdr:row>
      <xdr:rowOff>69253</xdr:rowOff>
    </xdr:from>
    <xdr:to>
      <xdr:col>12</xdr:col>
      <xdr:colOff>488076</xdr:colOff>
      <xdr:row>8</xdr:row>
      <xdr:rowOff>35715</xdr:rowOff>
    </xdr:to>
    <xdr:sp macro="" textlink="">
      <xdr:nvSpPr>
        <xdr:cNvPr id="4" name="TekstSylinder 3">
          <a:extLst>
            <a:ext uri="{FF2B5EF4-FFF2-40B4-BE49-F238E27FC236}">
              <a16:creationId xmlns:a16="http://schemas.microsoft.com/office/drawing/2014/main" id="{3662AD13-240D-4AF2-A7BF-04C94F7E7B8C}"/>
            </a:ext>
          </a:extLst>
        </xdr:cNvPr>
        <xdr:cNvSpPr txBox="1"/>
      </xdr:nvSpPr>
      <xdr:spPr>
        <a:xfrm rot="16200000">
          <a:off x="5179404" y="892304"/>
          <a:ext cx="683929" cy="11403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nb-NO" sz="800"/>
            <a:t>for calculations</a:t>
          </a:r>
        </a:p>
      </xdr:txBody>
    </xdr:sp>
    <xdr:clientData/>
  </xdr:twoCellAnchor>
  <xdr:twoCellAnchor>
    <xdr:from>
      <xdr:col>4</xdr:col>
      <xdr:colOff>218284</xdr:colOff>
      <xdr:row>11</xdr:row>
      <xdr:rowOff>86231</xdr:rowOff>
    </xdr:from>
    <xdr:to>
      <xdr:col>4</xdr:col>
      <xdr:colOff>432933</xdr:colOff>
      <xdr:row>12</xdr:row>
      <xdr:rowOff>72815</xdr:rowOff>
    </xdr:to>
    <xdr:sp macro="" textlink="">
      <xdr:nvSpPr>
        <xdr:cNvPr id="3" name="TekstSylinder 2">
          <a:extLst>
            <a:ext uri="{FF2B5EF4-FFF2-40B4-BE49-F238E27FC236}">
              <a16:creationId xmlns:a16="http://schemas.microsoft.com/office/drawing/2014/main" id="{9C447F3D-58BF-4C58-9606-45E9C5AD285D}"/>
            </a:ext>
          </a:extLst>
        </xdr:cNvPr>
        <xdr:cNvSpPr txBox="1"/>
      </xdr:nvSpPr>
      <xdr:spPr>
        <a:xfrm>
          <a:off x="1473852" y="1793309"/>
          <a:ext cx="214649" cy="110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nb-NO" sz="700">
              <a:latin typeface="Arial" panose="020B0604020202020204" pitchFamily="34" charset="0"/>
              <a:cs typeface="Arial" panose="020B0604020202020204" pitchFamily="34" charset="0"/>
            </a:rPr>
            <a:t> (DJ)</a:t>
          </a:r>
        </a:p>
      </xdr:txBody>
    </xdr:sp>
    <xdr:clientData/>
  </xdr:twoCellAnchor>
  <xdr:oneCellAnchor>
    <xdr:from>
      <xdr:col>14</xdr:col>
      <xdr:colOff>45119</xdr:colOff>
      <xdr:row>46</xdr:row>
      <xdr:rowOff>125328</xdr:rowOff>
    </xdr:from>
    <xdr:ext cx="1175771" cy="109621"/>
    <xdr:sp macro="" textlink="">
      <xdr:nvSpPr>
        <xdr:cNvPr id="20" name="TekstSylinder 19">
          <a:extLst>
            <a:ext uri="{FF2B5EF4-FFF2-40B4-BE49-F238E27FC236}">
              <a16:creationId xmlns:a16="http://schemas.microsoft.com/office/drawing/2014/main" id="{FEBC7ACE-D36E-49A0-83BB-921243C2D787}"/>
            </a:ext>
          </a:extLst>
        </xdr:cNvPr>
        <xdr:cNvSpPr txBox="1"/>
      </xdr:nvSpPr>
      <xdr:spPr>
        <a:xfrm>
          <a:off x="6409551" y="7095896"/>
          <a:ext cx="1175771" cy="109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700" i="1">
              <a:solidFill>
                <a:srgbClr val="0000CC"/>
              </a:solidFill>
              <a:latin typeface="+mn-lt"/>
            </a:rPr>
            <a:t>    strength of rockmass (in MPa)</a:t>
          </a:r>
        </a:p>
      </xdr:txBody>
    </xdr:sp>
    <xdr:clientData/>
  </xdr:oneCellAnchor>
  <xdr:twoCellAnchor editAs="oneCell">
    <xdr:from>
      <xdr:col>1</xdr:col>
      <xdr:colOff>21404</xdr:colOff>
      <xdr:row>30</xdr:row>
      <xdr:rowOff>26756</xdr:rowOff>
    </xdr:from>
    <xdr:to>
      <xdr:col>4</xdr:col>
      <xdr:colOff>1596</xdr:colOff>
      <xdr:row>38</xdr:row>
      <xdr:rowOff>106877</xdr:rowOff>
    </xdr:to>
    <xdr:pic>
      <xdr:nvPicPr>
        <xdr:cNvPr id="15" name="Bilde 14">
          <a:extLst>
            <a:ext uri="{FF2B5EF4-FFF2-40B4-BE49-F238E27FC236}">
              <a16:creationId xmlns:a16="http://schemas.microsoft.com/office/drawing/2014/main" id="{5BB51C3A-5D9B-4235-86A6-C0946B0567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216" y="4535668"/>
          <a:ext cx="1074948" cy="1261469"/>
        </a:xfrm>
        <a:prstGeom prst="rect">
          <a:avLst/>
        </a:prstGeom>
      </xdr:spPr>
    </xdr:pic>
    <xdr:clientData/>
  </xdr:twoCellAnchor>
  <xdr:twoCellAnchor>
    <xdr:from>
      <xdr:col>1</xdr:col>
      <xdr:colOff>238158</xdr:colOff>
      <xdr:row>48</xdr:row>
      <xdr:rowOff>39686</xdr:rowOff>
    </xdr:from>
    <xdr:to>
      <xdr:col>1</xdr:col>
      <xdr:colOff>407815</xdr:colOff>
      <xdr:row>52</xdr:row>
      <xdr:rowOff>22347</xdr:rowOff>
    </xdr:to>
    <xdr:sp macro="" textlink="">
      <xdr:nvSpPr>
        <xdr:cNvPr id="7" name="TekstSylinder 6">
          <a:extLst>
            <a:ext uri="{FF2B5EF4-FFF2-40B4-BE49-F238E27FC236}">
              <a16:creationId xmlns:a16="http://schemas.microsoft.com/office/drawing/2014/main" id="{47A4B083-1A71-4E67-9535-4C4CECD4A08C}"/>
            </a:ext>
          </a:extLst>
        </xdr:cNvPr>
        <xdr:cNvSpPr txBox="1"/>
      </xdr:nvSpPr>
      <xdr:spPr>
        <a:xfrm rot="16200000">
          <a:off x="164660" y="7609483"/>
          <a:ext cx="638278" cy="169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nb-NO" sz="800">
              <a:solidFill>
                <a:srgbClr val="9900FF"/>
              </a:solidFill>
            </a:rPr>
            <a:t>jointed rock</a:t>
          </a:r>
        </a:p>
      </xdr:txBody>
    </xdr:sp>
    <xdr:clientData/>
  </xdr:twoCellAnchor>
  <xdr:twoCellAnchor>
    <xdr:from>
      <xdr:col>1</xdr:col>
      <xdr:colOff>309396</xdr:colOff>
      <xdr:row>52</xdr:row>
      <xdr:rowOff>1903</xdr:rowOff>
    </xdr:from>
    <xdr:to>
      <xdr:col>1</xdr:col>
      <xdr:colOff>407720</xdr:colOff>
      <xdr:row>54</xdr:row>
      <xdr:rowOff>160514</xdr:rowOff>
    </xdr:to>
    <xdr:sp macro="" textlink="">
      <xdr:nvSpPr>
        <xdr:cNvPr id="10" name="TekstSylinder 9">
          <a:extLst>
            <a:ext uri="{FF2B5EF4-FFF2-40B4-BE49-F238E27FC236}">
              <a16:creationId xmlns:a16="http://schemas.microsoft.com/office/drawing/2014/main" id="{4C170BAD-34A8-47C2-A718-F1BA8BF884CC}"/>
            </a:ext>
          </a:extLst>
        </xdr:cNvPr>
        <xdr:cNvSpPr txBox="1"/>
      </xdr:nvSpPr>
      <xdr:spPr>
        <a:xfrm rot="16200000">
          <a:off x="266882" y="8196333"/>
          <a:ext cx="504975" cy="98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nb-NO" sz="800">
              <a:solidFill>
                <a:srgbClr val="FF66FF"/>
              </a:solidFill>
            </a:rPr>
            <a:t>zone</a:t>
          </a:r>
        </a:p>
      </xdr:txBody>
    </xdr:sp>
    <xdr:clientData/>
  </xdr:twoCellAnchor>
  <xdr:twoCellAnchor>
    <xdr:from>
      <xdr:col>1</xdr:col>
      <xdr:colOff>222636</xdr:colOff>
      <xdr:row>52</xdr:row>
      <xdr:rowOff>4630</xdr:rowOff>
    </xdr:from>
    <xdr:to>
      <xdr:col>1</xdr:col>
      <xdr:colOff>341242</xdr:colOff>
      <xdr:row>54</xdr:row>
      <xdr:rowOff>163241</xdr:rowOff>
    </xdr:to>
    <xdr:sp macro="" textlink="">
      <xdr:nvSpPr>
        <xdr:cNvPr id="17" name="TekstSylinder 16">
          <a:extLst>
            <a:ext uri="{FF2B5EF4-FFF2-40B4-BE49-F238E27FC236}">
              <a16:creationId xmlns:a16="http://schemas.microsoft.com/office/drawing/2014/main" id="{C0EE49DB-9ECD-486B-8E91-EA727FBBEF49}"/>
            </a:ext>
          </a:extLst>
        </xdr:cNvPr>
        <xdr:cNvSpPr txBox="1"/>
      </xdr:nvSpPr>
      <xdr:spPr>
        <a:xfrm rot="16200000">
          <a:off x="190263" y="8188919"/>
          <a:ext cx="504975" cy="118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nb-NO" sz="800">
              <a:solidFill>
                <a:srgbClr val="FF66FF"/>
              </a:solidFill>
            </a:rPr>
            <a:t>weakness</a:t>
          </a:r>
        </a:p>
      </xdr:txBody>
    </xdr:sp>
    <xdr:clientData/>
  </xdr:twoCellAnchor>
  <xdr:twoCellAnchor>
    <xdr:from>
      <xdr:col>1</xdr:col>
      <xdr:colOff>208935</xdr:colOff>
      <xdr:row>48</xdr:row>
      <xdr:rowOff>6145</xdr:rowOff>
    </xdr:from>
    <xdr:to>
      <xdr:col>1</xdr:col>
      <xdr:colOff>212008</xdr:colOff>
      <xdr:row>54</xdr:row>
      <xdr:rowOff>173181</xdr:rowOff>
    </xdr:to>
    <xdr:cxnSp macro="">
      <xdr:nvCxnSpPr>
        <xdr:cNvPr id="13" name="Rett linje 12">
          <a:extLst>
            <a:ext uri="{FF2B5EF4-FFF2-40B4-BE49-F238E27FC236}">
              <a16:creationId xmlns:a16="http://schemas.microsoft.com/office/drawing/2014/main" id="{73480F20-5DD5-44CD-A70E-9195F34B337D}"/>
            </a:ext>
          </a:extLst>
        </xdr:cNvPr>
        <xdr:cNvCxnSpPr/>
      </xdr:nvCxnSpPr>
      <xdr:spPr bwMode="auto">
        <a:xfrm flipH="1">
          <a:off x="369747" y="7341632"/>
          <a:ext cx="3073" cy="1169017"/>
        </a:xfrm>
        <a:prstGeom prst="line">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1</xdr:col>
      <xdr:colOff>202790</xdr:colOff>
      <xdr:row>52</xdr:row>
      <xdr:rowOff>0</xdr:rowOff>
    </xdr:from>
    <xdr:to>
      <xdr:col>2</xdr:col>
      <xdr:colOff>12290</xdr:colOff>
      <xdr:row>52</xdr:row>
      <xdr:rowOff>0</xdr:rowOff>
    </xdr:to>
    <xdr:cxnSp macro="">
      <xdr:nvCxnSpPr>
        <xdr:cNvPr id="19" name="Rett linje 18">
          <a:extLst>
            <a:ext uri="{FF2B5EF4-FFF2-40B4-BE49-F238E27FC236}">
              <a16:creationId xmlns:a16="http://schemas.microsoft.com/office/drawing/2014/main" id="{204E8227-EFD5-4ED3-9C5F-10FBF85ACA6F}"/>
            </a:ext>
          </a:extLst>
        </xdr:cNvPr>
        <xdr:cNvCxnSpPr/>
      </xdr:nvCxnSpPr>
      <xdr:spPr bwMode="auto">
        <a:xfrm flipH="1">
          <a:off x="363602" y="7991104"/>
          <a:ext cx="248639" cy="0"/>
        </a:xfrm>
        <a:prstGeom prst="line">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14</xdr:col>
      <xdr:colOff>31059</xdr:colOff>
      <xdr:row>42</xdr:row>
      <xdr:rowOff>162769</xdr:rowOff>
    </xdr:from>
    <xdr:to>
      <xdr:col>17</xdr:col>
      <xdr:colOff>126597</xdr:colOff>
      <xdr:row>43</xdr:row>
      <xdr:rowOff>113885</xdr:rowOff>
    </xdr:to>
    <xdr:sp macro="" textlink="">
      <xdr:nvSpPr>
        <xdr:cNvPr id="25" name="TekstSylinder 24">
          <a:extLst>
            <a:ext uri="{FF2B5EF4-FFF2-40B4-BE49-F238E27FC236}">
              <a16:creationId xmlns:a16="http://schemas.microsoft.com/office/drawing/2014/main" id="{6E274E3C-3782-4114-831D-B6288B53A099}"/>
            </a:ext>
          </a:extLst>
        </xdr:cNvPr>
        <xdr:cNvSpPr txBox="1"/>
      </xdr:nvSpPr>
      <xdr:spPr>
        <a:xfrm>
          <a:off x="6406178" y="6507745"/>
          <a:ext cx="1343433" cy="11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nb-NO" sz="700" i="1">
              <a:solidFill>
                <a:srgbClr val="0000CC"/>
              </a:solidFill>
            </a:rPr>
            <a:t>Gc = Ground condition factor in roof</a:t>
          </a:r>
        </a:p>
      </xdr:txBody>
    </xdr:sp>
    <xdr:clientData/>
  </xdr:twoCellAnchor>
  <xdr:twoCellAnchor>
    <xdr:from>
      <xdr:col>14</xdr:col>
      <xdr:colOff>48867</xdr:colOff>
      <xdr:row>43</xdr:row>
      <xdr:rowOff>116165</xdr:rowOff>
    </xdr:from>
    <xdr:to>
      <xdr:col>16</xdr:col>
      <xdr:colOff>141670</xdr:colOff>
      <xdr:row>44</xdr:row>
      <xdr:rowOff>72474</xdr:rowOff>
    </xdr:to>
    <xdr:sp macro="" textlink="">
      <xdr:nvSpPr>
        <xdr:cNvPr id="26" name="TekstSylinder 25">
          <a:extLst>
            <a:ext uri="{FF2B5EF4-FFF2-40B4-BE49-F238E27FC236}">
              <a16:creationId xmlns:a16="http://schemas.microsoft.com/office/drawing/2014/main" id="{9C39287E-484E-403E-9112-22A52D742CAC}"/>
            </a:ext>
          </a:extLst>
        </xdr:cNvPr>
        <xdr:cNvSpPr txBox="1"/>
      </xdr:nvSpPr>
      <xdr:spPr>
        <a:xfrm>
          <a:off x="6423986" y="6623910"/>
          <a:ext cx="789092" cy="110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nb-NO" sz="700" i="1">
              <a:solidFill>
                <a:srgbClr val="0000CC"/>
              </a:solidFill>
            </a:rPr>
            <a:t>Sr = Size ratio in roof</a:t>
          </a:r>
        </a:p>
      </xdr:txBody>
    </xdr:sp>
    <xdr:clientData/>
  </xdr:twoCellAnchor>
  <xdr:twoCellAnchor>
    <xdr:from>
      <xdr:col>16</xdr:col>
      <xdr:colOff>182096</xdr:colOff>
      <xdr:row>11</xdr:row>
      <xdr:rowOff>56030</xdr:rowOff>
    </xdr:from>
    <xdr:to>
      <xdr:col>16</xdr:col>
      <xdr:colOff>399209</xdr:colOff>
      <xdr:row>22</xdr:row>
      <xdr:rowOff>21011</xdr:rowOff>
    </xdr:to>
    <xdr:sp macro="" textlink="">
      <xdr:nvSpPr>
        <xdr:cNvPr id="6" name="Rektangel 5">
          <a:extLst>
            <a:ext uri="{FF2B5EF4-FFF2-40B4-BE49-F238E27FC236}">
              <a16:creationId xmlns:a16="http://schemas.microsoft.com/office/drawing/2014/main" id="{C0A0B977-45C6-5BD3-5C80-7D2FC84AFAFF}"/>
            </a:ext>
          </a:extLst>
        </xdr:cNvPr>
        <xdr:cNvSpPr/>
      </xdr:nvSpPr>
      <xdr:spPr bwMode="auto">
        <a:xfrm>
          <a:off x="7262813" y="1778934"/>
          <a:ext cx="217113" cy="1491783"/>
        </a:xfrm>
        <a:prstGeom prst="rect">
          <a:avLst/>
        </a:prstGeom>
        <a:noFill/>
        <a:ln w="12700" cap="flat" cmpd="sng" algn="ctr">
          <a:solidFill>
            <a:srgbClr val="0000CC"/>
          </a:solidFill>
          <a:prstDash val="solid"/>
          <a:round/>
          <a:headEnd type="none" w="med" len="med"/>
          <a:tailEnd type="none" w="med" len="med"/>
        </a:ln>
        <a:effectLst/>
      </xdr:spPr>
      <xdr:txBody>
        <a:bodyPr vertOverflow="clip" wrap="square" lIns="18288" tIns="0" rIns="0" bIns="0" rtlCol="0" anchor="ctr" upright="1"/>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xdr:row>
      <xdr:rowOff>49356</xdr:rowOff>
    </xdr:from>
    <xdr:to>
      <xdr:col>9</xdr:col>
      <xdr:colOff>657225</xdr:colOff>
      <xdr:row>40</xdr:row>
      <xdr:rowOff>18037</xdr:rowOff>
    </xdr:to>
    <xdr:pic>
      <xdr:nvPicPr>
        <xdr:cNvPr id="2" name="Bilde 1">
          <a:extLst>
            <a:ext uri="{FF2B5EF4-FFF2-40B4-BE49-F238E27FC236}">
              <a16:creationId xmlns:a16="http://schemas.microsoft.com/office/drawing/2014/main" id="{5D403FE6-F684-DD5E-3460-0D758A53994B}"/>
            </a:ext>
          </a:extLst>
        </xdr:cNvPr>
        <xdr:cNvPicPr>
          <a:picLocks noChangeAspect="1"/>
        </xdr:cNvPicPr>
      </xdr:nvPicPr>
      <xdr:blipFill>
        <a:blip xmlns:r="http://schemas.openxmlformats.org/officeDocument/2006/relationships" r:embed="rId1"/>
        <a:stretch>
          <a:fillRect/>
        </a:stretch>
      </xdr:blipFill>
      <xdr:spPr>
        <a:xfrm>
          <a:off x="28575" y="535131"/>
          <a:ext cx="7486650" cy="5959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411480</xdr:colOff>
      <xdr:row>0</xdr:row>
      <xdr:rowOff>53340</xdr:rowOff>
    </xdr:from>
    <xdr:to>
      <xdr:col>13</xdr:col>
      <xdr:colOff>22860</xdr:colOff>
      <xdr:row>2</xdr:row>
      <xdr:rowOff>30480</xdr:rowOff>
    </xdr:to>
    <xdr:pic>
      <xdr:nvPicPr>
        <xdr:cNvPr id="17860" name="Picture 1174">
          <a:extLst>
            <a:ext uri="{FF2B5EF4-FFF2-40B4-BE49-F238E27FC236}">
              <a16:creationId xmlns:a16="http://schemas.microsoft.com/office/drawing/2014/main" id="{00000000-0008-0000-0300-0000C44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5560" y="53340"/>
          <a:ext cx="5486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241217</xdr:colOff>
      <xdr:row>41</xdr:row>
      <xdr:rowOff>55666</xdr:rowOff>
    </xdr:from>
    <xdr:to>
      <xdr:col>32</xdr:col>
      <xdr:colOff>158370</xdr:colOff>
      <xdr:row>62</xdr:row>
      <xdr:rowOff>121585</xdr:rowOff>
    </xdr:to>
    <xdr:pic>
      <xdr:nvPicPr>
        <xdr:cNvPr id="3" name="Bilde 2">
          <a:extLst>
            <a:ext uri="{FF2B5EF4-FFF2-40B4-BE49-F238E27FC236}">
              <a16:creationId xmlns:a16="http://schemas.microsoft.com/office/drawing/2014/main" id="{C40586AC-9B57-417E-B0CC-5C4856104E98}"/>
            </a:ext>
          </a:extLst>
        </xdr:cNvPr>
        <xdr:cNvPicPr>
          <a:picLocks noChangeAspect="1"/>
        </xdr:cNvPicPr>
      </xdr:nvPicPr>
      <xdr:blipFill>
        <a:blip xmlns:r="http://schemas.openxmlformats.org/officeDocument/2006/relationships" r:embed="rId2"/>
        <a:stretch>
          <a:fillRect/>
        </a:stretch>
      </xdr:blipFill>
      <xdr:spPr>
        <a:xfrm>
          <a:off x="8331282" y="6556169"/>
          <a:ext cx="4277623" cy="344296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7247-17DA-4B52-9969-9FC5D806D4C3}">
  <sheetPr codeName="Ark1"/>
  <dimension ref="A1:N56"/>
  <sheetViews>
    <sheetView showGridLines="0" tabSelected="1" zoomScale="124" zoomScaleNormal="124" workbookViewId="0">
      <selection activeCell="J10" sqref="J10"/>
    </sheetView>
  </sheetViews>
  <sheetFormatPr baseColWidth="10" defaultRowHeight="12.75"/>
  <cols>
    <col min="1" max="7" width="11.42578125" style="2"/>
    <col min="8" max="8" width="11" style="2" customWidth="1"/>
    <col min="9" max="9" width="7.140625" style="2" customWidth="1"/>
    <col min="10" max="16384" width="11.42578125" style="2"/>
  </cols>
  <sheetData>
    <row r="1" spans="1:14" ht="20.25" customHeight="1">
      <c r="A1" s="1510" t="s">
        <v>1066</v>
      </c>
      <c r="I1" s="411"/>
    </row>
    <row r="2" spans="1:14">
      <c r="A2" s="1"/>
      <c r="B2" s="1"/>
      <c r="I2" s="411"/>
    </row>
    <row r="3" spans="1:14">
      <c r="A3" s="1" t="s">
        <v>1062</v>
      </c>
      <c r="I3" s="411"/>
    </row>
    <row r="4" spans="1:14">
      <c r="I4" s="1509"/>
      <c r="N4" s="1"/>
    </row>
    <row r="5" spans="1:14">
      <c r="A5" s="1863"/>
      <c r="I5" s="1509"/>
      <c r="N5" s="1"/>
    </row>
    <row r="6" spans="1:14">
      <c r="I6" s="411"/>
      <c r="N6" s="1"/>
    </row>
    <row r="7" spans="1:14">
      <c r="A7" s="1"/>
      <c r="I7" s="411"/>
      <c r="N7" s="1"/>
    </row>
    <row r="8" spans="1:14">
      <c r="A8" s="1"/>
      <c r="I8" s="411"/>
      <c r="N8" s="1"/>
    </row>
    <row r="9" spans="1:14" ht="14.25" customHeight="1">
      <c r="A9" s="1832" t="s">
        <v>1031</v>
      </c>
      <c r="I9" s="411"/>
    </row>
    <row r="10" spans="1:14">
      <c r="I10" s="411"/>
    </row>
    <row r="11" spans="1:14">
      <c r="I11" s="411"/>
    </row>
    <row r="12" spans="1:14">
      <c r="I12" s="411"/>
    </row>
    <row r="13" spans="1:14">
      <c r="I13" s="411"/>
    </row>
    <row r="14" spans="1:14">
      <c r="I14" s="411"/>
    </row>
    <row r="15" spans="1:14">
      <c r="I15" s="411"/>
    </row>
    <row r="16" spans="1:14">
      <c r="I16" s="411"/>
    </row>
    <row r="17" spans="9:9">
      <c r="I17" s="411"/>
    </row>
    <row r="18" spans="9:9">
      <c r="I18" s="411"/>
    </row>
    <row r="19" spans="9:9">
      <c r="I19" s="411"/>
    </row>
    <row r="20" spans="9:9">
      <c r="I20" s="411"/>
    </row>
    <row r="21" spans="9:9">
      <c r="I21" s="411"/>
    </row>
    <row r="22" spans="9:9">
      <c r="I22" s="411"/>
    </row>
    <row r="23" spans="9:9">
      <c r="I23" s="411"/>
    </row>
    <row r="24" spans="9:9">
      <c r="I24" s="411"/>
    </row>
    <row r="25" spans="9:9">
      <c r="I25" s="411"/>
    </row>
    <row r="26" spans="9:9">
      <c r="I26" s="411"/>
    </row>
    <row r="27" spans="9:9">
      <c r="I27" s="411"/>
    </row>
    <row r="28" spans="9:9">
      <c r="I28" s="411"/>
    </row>
    <row r="29" spans="9:9">
      <c r="I29" s="411"/>
    </row>
    <row r="30" spans="9:9">
      <c r="I30" s="411"/>
    </row>
    <row r="31" spans="9:9">
      <c r="I31" s="411"/>
    </row>
    <row r="32" spans="9:9">
      <c r="I32" s="411"/>
    </row>
    <row r="33" spans="1:9">
      <c r="I33" s="411"/>
    </row>
    <row r="34" spans="1:9">
      <c r="I34" s="411"/>
    </row>
    <row r="35" spans="1:9" ht="15.75">
      <c r="A35" s="1" t="s">
        <v>1030</v>
      </c>
      <c r="I35" s="411"/>
    </row>
    <row r="36" spans="1:9">
      <c r="I36" s="411"/>
    </row>
    <row r="37" spans="1:9">
      <c r="I37" s="411"/>
    </row>
    <row r="38" spans="1:9">
      <c r="I38" s="411"/>
    </row>
    <row r="39" spans="1:9">
      <c r="I39" s="411"/>
    </row>
    <row r="40" spans="1:9" s="1832" customFormat="1" ht="17.25" customHeight="1">
      <c r="A40" s="1832" t="s">
        <v>1032</v>
      </c>
      <c r="I40" s="1833"/>
    </row>
    <row r="41" spans="1:9">
      <c r="I41" s="411"/>
    </row>
    <row r="42" spans="1:9">
      <c r="I42" s="411"/>
    </row>
    <row r="43" spans="1:9">
      <c r="I43" s="411"/>
    </row>
    <row r="44" spans="1:9">
      <c r="I44" s="411"/>
    </row>
    <row r="45" spans="1:9">
      <c r="I45" s="411"/>
    </row>
    <row r="46" spans="1:9">
      <c r="I46" s="411"/>
    </row>
    <row r="47" spans="1:9">
      <c r="I47" s="411"/>
    </row>
    <row r="48" spans="1:9">
      <c r="I48" s="411"/>
    </row>
    <row r="49" spans="1:14">
      <c r="I49" s="411"/>
    </row>
    <row r="50" spans="1:14" ht="15.75" customHeight="1">
      <c r="A50" s="1832" t="s">
        <v>1033</v>
      </c>
      <c r="I50" s="411"/>
    </row>
    <row r="51" spans="1:14">
      <c r="I51" s="411"/>
    </row>
    <row r="52" spans="1:14">
      <c r="I52" s="411"/>
    </row>
    <row r="53" spans="1:14">
      <c r="I53" s="411"/>
    </row>
    <row r="54" spans="1:14" ht="14.25" customHeight="1">
      <c r="A54" s="1835" t="s">
        <v>1067</v>
      </c>
      <c r="B54" s="1834"/>
      <c r="C54" s="1834"/>
      <c r="D54" s="1834"/>
      <c r="E54" s="1834"/>
      <c r="F54" s="1834"/>
      <c r="G54" s="1834"/>
      <c r="H54" s="1834"/>
      <c r="I54" s="1834"/>
    </row>
    <row r="55" spans="1:14" ht="15.75" customHeight="1">
      <c r="A55" s="1836"/>
      <c r="B55" s="1834"/>
      <c r="C55" s="1834"/>
      <c r="D55" s="1834"/>
      <c r="E55" s="1834"/>
      <c r="F55" s="1834"/>
      <c r="G55" s="1834"/>
      <c r="H55" s="1834"/>
      <c r="I55" s="1834"/>
    </row>
    <row r="56" spans="1:14">
      <c r="A56" s="1"/>
      <c r="N56" s="1"/>
    </row>
  </sheetData>
  <sheetProtection algorithmName="SHA-512" hashValue="92z55Cmv3EyqGZ1jnyK1W9luI3inuxUaAyq7GgQkbMBSxtAUhxIAa+qTysQ3OstVbTsdlpENUyt2AL0qKCJVeQ==" saltValue="et8sgemBbjjr1WKXiO2Tcg==" spinCount="100000" sheet="1" objects="1" scenarios="1"/>
  <pageMargins left="0.53" right="0.1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AM172"/>
  <sheetViews>
    <sheetView showGridLines="0" zoomScale="136" zoomScaleNormal="136" zoomScalePageLayoutView="148" workbookViewId="0">
      <selection activeCell="M12" sqref="M12:M13"/>
    </sheetView>
  </sheetViews>
  <sheetFormatPr baseColWidth="10" defaultColWidth="11.42578125" defaultRowHeight="14.25"/>
  <cols>
    <col min="1" max="1" width="2.42578125" style="4" customWidth="1"/>
    <col min="2" max="2" width="6.5703125" style="4" customWidth="1"/>
    <col min="3" max="3" width="4.5703125" style="4" customWidth="1"/>
    <col min="4" max="4" width="5.28515625" style="65" customWidth="1"/>
    <col min="5" max="5" width="6.5703125" style="65" customWidth="1"/>
    <col min="6" max="6" width="8" style="4" customWidth="1"/>
    <col min="7" max="7" width="6.85546875" style="4" customWidth="1"/>
    <col min="8" max="8" width="7" style="4" customWidth="1"/>
    <col min="9" max="9" width="6.7109375" style="4" customWidth="1"/>
    <col min="10" max="11" width="7.140625" style="4" customWidth="1"/>
    <col min="12" max="12" width="8.140625" style="4" customWidth="1"/>
    <col min="13" max="13" width="8.5703125" style="4" customWidth="1"/>
    <col min="14" max="14" width="10.5703125" style="4" customWidth="1"/>
    <col min="15" max="15" width="5.140625" style="31" customWidth="1"/>
    <col min="16" max="16" width="5.28515625" style="31" customWidth="1"/>
    <col min="17" max="17" width="8.28515625" style="31" customWidth="1"/>
    <col min="18" max="18" width="8.140625" style="31" customWidth="1"/>
    <col min="19" max="19" width="8.42578125" style="31" customWidth="1"/>
    <col min="20" max="20" width="7.140625" style="4" customWidth="1"/>
    <col min="21" max="21" width="5.5703125" style="4" customWidth="1"/>
    <col min="22" max="23" width="2.42578125" style="4" customWidth="1"/>
    <col min="24" max="24" width="6.7109375" style="4" customWidth="1"/>
    <col min="25" max="25" width="7.42578125" style="4" customWidth="1"/>
    <col min="26" max="26" width="8.7109375" style="4" customWidth="1"/>
    <col min="27" max="27" width="8.85546875" style="4" customWidth="1"/>
    <col min="28" max="28" width="7.7109375" style="4" customWidth="1"/>
    <col min="29" max="29" width="7.5703125" style="4" customWidth="1"/>
    <col min="30" max="30" width="8.7109375" style="4" customWidth="1"/>
    <col min="31" max="31" width="11.42578125" style="4"/>
    <col min="32" max="32" width="9.42578125" style="4" customWidth="1"/>
    <col min="33" max="33" width="11.42578125" style="4"/>
    <col min="34" max="34" width="10.140625" style="4" customWidth="1"/>
    <col min="35" max="36" width="11.42578125" style="4"/>
    <col min="37" max="37" width="10.42578125" style="4" customWidth="1"/>
    <col min="38" max="38" width="9.140625" style="4" customWidth="1"/>
    <col min="39" max="16384" width="11.42578125" style="4"/>
  </cols>
  <sheetData>
    <row r="1" spans="1:35" ht="15" customHeight="1">
      <c r="A1" s="1869" t="s">
        <v>1027</v>
      </c>
      <c r="B1" s="1870"/>
      <c r="C1" s="1870"/>
      <c r="D1" s="1870"/>
      <c r="E1" s="1870"/>
      <c r="F1" s="1870"/>
      <c r="G1" s="573" t="s">
        <v>375</v>
      </c>
      <c r="H1" s="574"/>
      <c r="I1" s="574"/>
      <c r="J1" s="696"/>
      <c r="K1" s="575" t="s">
        <v>440</v>
      </c>
      <c r="L1" s="576"/>
      <c r="M1" s="589" t="s">
        <v>373</v>
      </c>
      <c r="N1" s="594"/>
      <c r="O1" s="1822"/>
      <c r="P1" s="1806"/>
      <c r="Q1" s="629"/>
      <c r="R1" s="8"/>
      <c r="S1" s="4"/>
      <c r="T1" s="623" t="s">
        <v>482</v>
      </c>
      <c r="V1" s="452"/>
      <c r="Y1" s="604"/>
      <c r="Z1" s="604"/>
      <c r="AA1" s="604"/>
      <c r="AB1" s="604"/>
      <c r="AC1" s="604"/>
      <c r="AD1" s="604"/>
      <c r="AE1" s="3"/>
      <c r="AF1" s="3"/>
    </row>
    <row r="2" spans="1:35" ht="15" customHeight="1">
      <c r="A2" s="1871"/>
      <c r="B2" s="1872"/>
      <c r="C2" s="1872"/>
      <c r="D2" s="1872"/>
      <c r="E2" s="1872"/>
      <c r="F2" s="1872"/>
      <c r="G2" s="1807" t="s">
        <v>372</v>
      </c>
      <c r="H2" s="1804"/>
      <c r="I2" s="1804"/>
      <c r="J2" s="1805"/>
      <c r="K2" s="1805"/>
      <c r="L2" s="1805"/>
      <c r="M2" s="1808" t="s">
        <v>357</v>
      </c>
      <c r="N2" s="1820"/>
      <c r="O2" s="1828"/>
      <c r="P2" s="1806"/>
      <c r="Q2" s="2125" t="s">
        <v>825</v>
      </c>
      <c r="R2" s="2126"/>
      <c r="S2" s="2126"/>
      <c r="T2" s="2126"/>
      <c r="U2" s="2126"/>
      <c r="V2" s="2126"/>
      <c r="W2" s="2126"/>
      <c r="X2" s="2126"/>
      <c r="Y2" s="2126"/>
      <c r="Z2" s="2126"/>
      <c r="AA2" s="2126"/>
      <c r="AB2" s="2126"/>
      <c r="AC2" s="604"/>
      <c r="AD2" s="604"/>
      <c r="AE2" s="3"/>
      <c r="AF2" s="3"/>
    </row>
    <row r="3" spans="1:35" ht="15" customHeight="1">
      <c r="A3" s="1873"/>
      <c r="B3" s="1874"/>
      <c r="C3" s="1874"/>
      <c r="D3" s="1874"/>
      <c r="E3" s="1874"/>
      <c r="F3" s="1874"/>
      <c r="G3" s="1821"/>
      <c r="H3" s="719"/>
      <c r="I3" s="719"/>
      <c r="J3" s="697"/>
      <c r="K3" s="720" t="s">
        <v>441</v>
      </c>
      <c r="L3" s="1406"/>
      <c r="M3" s="590" t="s">
        <v>439</v>
      </c>
      <c r="N3" s="1407"/>
      <c r="O3" s="1823"/>
      <c r="P3" s="1824"/>
      <c r="Q3" s="2125"/>
      <c r="R3" s="2126"/>
      <c r="S3" s="2126"/>
      <c r="T3" s="2126"/>
      <c r="U3" s="2126"/>
      <c r="V3" s="2126"/>
      <c r="W3" s="2126"/>
      <c r="X3" s="2126"/>
      <c r="Y3" s="2126"/>
      <c r="Z3" s="2126"/>
      <c r="AA3" s="2126"/>
      <c r="AB3" s="2126"/>
      <c r="AC3" s="604"/>
      <c r="AD3" s="604"/>
      <c r="AE3" s="3"/>
      <c r="AF3" s="3"/>
    </row>
    <row r="4" spans="1:35" ht="12.75" customHeight="1">
      <c r="A4" s="1508"/>
      <c r="B4" s="2156" t="s">
        <v>662</v>
      </c>
      <c r="C4" s="2156"/>
      <c r="D4" s="2156"/>
      <c r="E4" s="2156"/>
      <c r="F4" s="2156"/>
      <c r="G4" s="2156"/>
      <c r="H4" s="2156"/>
      <c r="I4" s="2156"/>
      <c r="J4" s="2156"/>
      <c r="K4" s="2156"/>
      <c r="L4" s="2156"/>
      <c r="M4" s="2143" t="s">
        <v>629</v>
      </c>
      <c r="N4" s="1880" t="s">
        <v>670</v>
      </c>
      <c r="O4" s="1875" t="s">
        <v>1026</v>
      </c>
      <c r="P4" s="1876"/>
      <c r="Q4" s="2125"/>
      <c r="R4" s="2126"/>
      <c r="S4" s="2126"/>
      <c r="T4" s="2126"/>
      <c r="U4" s="2126"/>
      <c r="V4" s="2126"/>
      <c r="W4" s="2126"/>
      <c r="X4" s="2126"/>
      <c r="Y4" s="2126"/>
      <c r="Z4" s="2126"/>
      <c r="AA4" s="2126"/>
      <c r="AB4" s="2126"/>
      <c r="AC4" s="455"/>
      <c r="AD4" s="455"/>
      <c r="AE4" s="455"/>
      <c r="AF4" s="455"/>
      <c r="AG4" s="455"/>
      <c r="AH4" s="455"/>
      <c r="AI4" s="455"/>
    </row>
    <row r="5" spans="1:35" ht="11.25" customHeight="1" thickBot="1">
      <c r="A5" s="2193" t="s">
        <v>786</v>
      </c>
      <c r="B5" s="2227" t="s">
        <v>814</v>
      </c>
      <c r="C5" s="2228"/>
      <c r="D5" s="2163" t="s">
        <v>525</v>
      </c>
      <c r="E5" s="2163"/>
      <c r="F5" s="2163"/>
      <c r="G5" s="2164"/>
      <c r="H5" s="1773" t="s">
        <v>669</v>
      </c>
      <c r="I5" s="1774" t="s">
        <v>664</v>
      </c>
      <c r="J5" s="1775" t="s">
        <v>665</v>
      </c>
      <c r="K5" s="1776" t="s">
        <v>663</v>
      </c>
      <c r="L5" s="1777" t="s">
        <v>666</v>
      </c>
      <c r="M5" s="2144"/>
      <c r="N5" s="1881"/>
      <c r="O5" s="1877"/>
      <c r="P5" s="1876"/>
      <c r="Q5" s="1170"/>
      <c r="R5" s="1517" t="s">
        <v>626</v>
      </c>
      <c r="S5" s="1170"/>
      <c r="T5" s="1170"/>
      <c r="U5" s="1170"/>
      <c r="V5" s="1170"/>
      <c r="W5" s="1170"/>
      <c r="X5" s="1170"/>
      <c r="Y5" s="1170"/>
      <c r="Z5" s="41"/>
      <c r="AA5" s="1170"/>
      <c r="AB5" s="1170"/>
      <c r="AC5" s="455"/>
      <c r="AD5" s="455"/>
      <c r="AE5" s="455"/>
      <c r="AF5" s="455"/>
      <c r="AG5" s="455"/>
      <c r="AH5" s="455"/>
      <c r="AI5" s="455"/>
    </row>
    <row r="6" spans="1:35" ht="10.5" customHeight="1" thickTop="1">
      <c r="A6" s="2194"/>
      <c r="B6" s="2229"/>
      <c r="C6" s="2230"/>
      <c r="D6" s="507" t="s">
        <v>495</v>
      </c>
      <c r="E6" s="508" t="s">
        <v>496</v>
      </c>
      <c r="F6" s="507" t="s">
        <v>404</v>
      </c>
      <c r="G6" s="509" t="s">
        <v>403</v>
      </c>
      <c r="H6" s="2157" t="s">
        <v>628</v>
      </c>
      <c r="I6" s="2158"/>
      <c r="J6" s="2137"/>
      <c r="K6" s="2138"/>
      <c r="L6" s="2139"/>
      <c r="M6" s="2144"/>
      <c r="N6" s="1882" t="str">
        <f>IF(AND(M31="",M12=""),"Fill in for                              DJ and/or SRFz",IF(AND(M10="",M12&lt;&gt;""),"Fill in for TYPE OF STRUCTURE",IF(M42&lt;&gt;"","CHECK INPUT",IF(M31&lt;&gt;"","",""))))</f>
        <v>Fill in for                              DJ and/or SRFz</v>
      </c>
      <c r="O6" s="1878"/>
      <c r="P6" s="1879"/>
      <c r="S6" s="1276"/>
      <c r="T6" s="1276"/>
      <c r="U6" s="1276"/>
      <c r="W6" s="406"/>
      <c r="Y6" s="455"/>
      <c r="Z6" s="455"/>
      <c r="AA6" s="455"/>
      <c r="AB6" s="455"/>
      <c r="AC6" s="455"/>
      <c r="AD6" s="455"/>
      <c r="AE6" s="480"/>
      <c r="AF6" s="455"/>
      <c r="AG6" s="455"/>
    </row>
    <row r="7" spans="1:35" ht="10.5" customHeight="1">
      <c r="A7" s="2194"/>
      <c r="B7" s="8"/>
      <c r="C7" s="1122">
        <v>1</v>
      </c>
      <c r="D7" s="1441"/>
      <c r="E7" s="1306"/>
      <c r="F7" s="1305"/>
      <c r="G7" s="1307"/>
      <c r="H7" s="2157"/>
      <c r="I7" s="2158"/>
      <c r="J7" s="2140"/>
      <c r="K7" s="2141"/>
      <c r="L7" s="2142"/>
      <c r="M7" s="2144"/>
      <c r="N7" s="1882"/>
      <c r="O7" s="2152" t="str">
        <f>IF(L3&lt;&gt;"","","Tunnel span?")</f>
        <v>Tunnel span?</v>
      </c>
      <c r="P7" s="2153"/>
      <c r="Q7" s="2125" t="s">
        <v>826</v>
      </c>
      <c r="R7" s="2126"/>
      <c r="S7" s="2126"/>
      <c r="T7" s="2126"/>
      <c r="U7" s="2126"/>
      <c r="V7" s="2126"/>
      <c r="W7" s="2126"/>
      <c r="X7" s="2126"/>
      <c r="Y7" s="2126"/>
      <c r="Z7" s="2126"/>
      <c r="AA7" s="2126"/>
      <c r="AB7" s="2126"/>
      <c r="AC7" s="11"/>
      <c r="AD7" s="11"/>
      <c r="AE7" s="11"/>
      <c r="AF7" s="455"/>
      <c r="AG7" s="455"/>
    </row>
    <row r="8" spans="1:35" ht="11.25" customHeight="1">
      <c r="A8" s="2194"/>
      <c r="B8" s="8"/>
      <c r="C8" s="1122">
        <v>2</v>
      </c>
      <c r="D8" s="1441"/>
      <c r="E8" s="1306"/>
      <c r="F8" s="1305"/>
      <c r="G8" s="1307"/>
      <c r="H8" s="537"/>
      <c r="I8" s="1129" t="s">
        <v>612</v>
      </c>
      <c r="J8" s="2233"/>
      <c r="K8" s="2234"/>
      <c r="L8" s="2235"/>
      <c r="M8" s="2144"/>
      <c r="N8" s="1883"/>
      <c r="O8" s="2154" t="str">
        <f>IF(N3&lt;&gt;"","","Wall height?")</f>
        <v>Wall height?</v>
      </c>
      <c r="P8" s="2155"/>
      <c r="Q8" s="2125"/>
      <c r="R8" s="2126"/>
      <c r="S8" s="2126"/>
      <c r="T8" s="2126"/>
      <c r="U8" s="2126"/>
      <c r="V8" s="2126"/>
      <c r="W8" s="2126"/>
      <c r="X8" s="2126"/>
      <c r="Y8" s="2126"/>
      <c r="Z8" s="2126"/>
      <c r="AA8" s="2126"/>
      <c r="AB8" s="2126"/>
      <c r="AC8" s="406"/>
      <c r="AD8" s="406"/>
      <c r="AE8" s="406"/>
      <c r="AF8" s="406"/>
    </row>
    <row r="9" spans="1:35" ht="11.25" customHeight="1">
      <c r="A9" s="2194"/>
      <c r="B9" s="8"/>
      <c r="C9" s="1122">
        <v>3</v>
      </c>
      <c r="D9" s="1442"/>
      <c r="E9" s="1306"/>
      <c r="F9" s="1306"/>
      <c r="G9" s="1307"/>
      <c r="H9" s="577"/>
      <c r="I9" s="45"/>
      <c r="J9" s="578"/>
      <c r="K9" s="1519" t="s">
        <v>831</v>
      </c>
      <c r="L9" s="1404"/>
      <c r="M9" s="2145"/>
      <c r="N9" s="1280" t="s">
        <v>783</v>
      </c>
      <c r="O9" s="1421"/>
      <c r="P9" s="1163"/>
      <c r="Q9" s="707"/>
      <c r="R9" s="707"/>
      <c r="S9" s="707"/>
      <c r="T9" s="563"/>
      <c r="U9" s="8"/>
      <c r="V9" s="8"/>
      <c r="W9" s="8"/>
      <c r="Y9" s="505"/>
      <c r="Z9" s="505"/>
      <c r="AA9" s="7"/>
      <c r="AB9" s="7"/>
      <c r="AC9" s="725"/>
      <c r="AD9" s="725"/>
      <c r="AE9" s="725"/>
      <c r="AF9" s="726"/>
      <c r="AG9" s="726"/>
    </row>
    <row r="10" spans="1:35" ht="12" customHeight="1">
      <c r="A10" s="2194"/>
      <c r="B10" s="1122"/>
      <c r="C10" s="592"/>
      <c r="D10" s="1351"/>
      <c r="E10" s="1270"/>
      <c r="F10" s="1270"/>
      <c r="G10" s="1271"/>
      <c r="H10" s="1303"/>
      <c r="I10" s="2135" t="s">
        <v>660</v>
      </c>
      <c r="J10" s="2135"/>
      <c r="K10" s="2135"/>
      <c r="L10" s="2136"/>
      <c r="M10" s="699"/>
      <c r="N10" s="1146" t="str">
        <f>IF(M12="","",IF(M10="","Jointed rockmass",""))</f>
        <v/>
      </c>
      <c r="O10" s="1512" t="str">
        <f>IF(AND(M10="",M12&lt;&gt;""),"← input ?",IF(AND(M12="",M10&lt;&gt;""),"← remove",IF(OR(M10="",M10="a",M10="b",M10="c",M10="d",M10="e"),"","check input")))</f>
        <v/>
      </c>
      <c r="P10" s="1420"/>
      <c r="Q10" s="2210" t="s">
        <v>787</v>
      </c>
      <c r="R10" s="658" t="s">
        <v>545</v>
      </c>
      <c r="T10" s="481"/>
      <c r="U10" s="659"/>
      <c r="V10" s="659"/>
      <c r="W10" s="659"/>
      <c r="X10" s="8"/>
      <c r="Y10" s="8"/>
      <c r="Z10" s="401"/>
      <c r="AA10" s="423"/>
      <c r="AC10" s="726"/>
      <c r="AD10" s="726"/>
      <c r="AE10" s="726"/>
      <c r="AF10" s="727"/>
      <c r="AG10" s="726"/>
    </row>
    <row r="11" spans="1:35" ht="12" customHeight="1">
      <c r="A11" s="2194"/>
      <c r="B11" s="1440"/>
      <c r="C11" s="21"/>
      <c r="D11" s="517" t="s">
        <v>608</v>
      </c>
      <c r="E11" s="8"/>
      <c r="F11" s="477"/>
      <c r="G11" s="541"/>
      <c r="H11" s="647"/>
      <c r="I11" s="445"/>
      <c r="J11" s="445"/>
      <c r="K11" s="1715"/>
      <c r="L11" s="1281" t="s">
        <v>361</v>
      </c>
      <c r="M11" s="542"/>
      <c r="N11" s="1147" t="str">
        <f>IF(M12="","",IF(M11="",F100,F100))</f>
        <v/>
      </c>
      <c r="O11" s="1558" t="str">
        <f>IF(M11="","",IF(AND(M12="",M11&lt;&gt;""),"← remove",IF(OR(M11="a",M11="b",M11="c",M11="d",M11="e",M11="f",M11="g",M11="h",M11="i"),"","check input")))</f>
        <v/>
      </c>
      <c r="P11" s="1277"/>
      <c r="Q11" s="2210"/>
      <c r="R11" s="2132" t="s">
        <v>114</v>
      </c>
      <c r="S11" s="2133"/>
      <c r="T11" s="660" t="s">
        <v>542</v>
      </c>
      <c r="U11" s="2132" t="s">
        <v>543</v>
      </c>
      <c r="V11" s="2134"/>
      <c r="W11" s="2134"/>
      <c r="X11" s="2134"/>
      <c r="Y11" s="2133"/>
      <c r="Z11" s="2197" t="s">
        <v>618</v>
      </c>
      <c r="AA11" s="2198"/>
      <c r="AB11" s="423"/>
      <c r="AC11" s="728"/>
      <c r="AD11" s="728"/>
      <c r="AE11" s="728"/>
      <c r="AF11" s="729"/>
      <c r="AG11" s="726"/>
    </row>
    <row r="12" spans="1:35" ht="9.75" customHeight="1">
      <c r="A12" s="2194"/>
      <c r="B12" s="1440"/>
      <c r="C12" s="8"/>
      <c r="D12" s="721" t="s">
        <v>607</v>
      </c>
      <c r="E12" s="539"/>
      <c r="F12" s="625" t="s">
        <v>340</v>
      </c>
      <c r="G12" s="626" t="s">
        <v>443</v>
      </c>
      <c r="H12" s="624" t="s">
        <v>795</v>
      </c>
      <c r="I12" s="624" t="s">
        <v>619</v>
      </c>
      <c r="J12" s="626" t="s">
        <v>620</v>
      </c>
      <c r="K12" s="627" t="s">
        <v>621</v>
      </c>
      <c r="L12" s="2255" t="s">
        <v>514</v>
      </c>
      <c r="M12" s="2159"/>
      <c r="N12" s="2207" t="str">
        <f>IF(M12="","",IF(M12="a","Crushed rock",IF(M12="b","Broken rock",IF(M12="c","Very highly jointed",IF(M12="d","Highly jointed",IF(M12="e","Moderately jointed",IF(M12="f","Slightly jointed","")))))))</f>
        <v/>
      </c>
      <c r="O12" s="2150" t="str">
        <f>IF(AND(M12="",M31=""),"← input",IF(OR(M12="a",M12="b",M12="c",M12="d",M12="e",M12="f"),"",IF(AND(M31&lt;&gt;"",M12=""),"",IF(OR(M31="",M12&lt;&gt;""),"check input"))))</f>
        <v>← input</v>
      </c>
      <c r="P12" s="2151"/>
      <c r="Q12" s="2210"/>
      <c r="R12" s="2211" t="s">
        <v>615</v>
      </c>
      <c r="S12" s="2130" t="s">
        <v>656</v>
      </c>
      <c r="T12" s="2128"/>
      <c r="U12" s="618"/>
      <c r="V12" s="618"/>
      <c r="W12" s="662" t="s">
        <v>643</v>
      </c>
      <c r="X12" s="663" t="str">
        <f>IF(T16="","",110-2.5*T16)</f>
        <v/>
      </c>
      <c r="Y12" s="619"/>
      <c r="Z12" s="664" t="s">
        <v>649</v>
      </c>
      <c r="AA12" s="665"/>
      <c r="AC12" s="728"/>
      <c r="AD12" s="728"/>
      <c r="AE12" s="728"/>
      <c r="AF12" s="730"/>
      <c r="AG12" s="726"/>
    </row>
    <row r="13" spans="1:35" ht="9" customHeight="1">
      <c r="A13" s="2194"/>
      <c r="B13" s="1440"/>
      <c r="C13" s="1771"/>
      <c r="D13" s="1409" t="s">
        <v>655</v>
      </c>
      <c r="E13" s="540"/>
      <c r="F13" s="437" t="s">
        <v>16</v>
      </c>
      <c r="G13" s="438" t="s">
        <v>18</v>
      </c>
      <c r="H13" s="438" t="s">
        <v>21</v>
      </c>
      <c r="I13" s="438" t="s">
        <v>23</v>
      </c>
      <c r="J13" s="18" t="s">
        <v>25</v>
      </c>
      <c r="K13" s="19" t="s">
        <v>27</v>
      </c>
      <c r="L13" s="2256"/>
      <c r="M13" s="2160"/>
      <c r="N13" s="2192"/>
      <c r="O13" s="2150"/>
      <c r="P13" s="2151"/>
      <c r="Q13" s="2210"/>
      <c r="R13" s="2212"/>
      <c r="S13" s="2131"/>
      <c r="T13" s="2129"/>
      <c r="U13" s="616"/>
      <c r="V13" s="616"/>
      <c r="W13" s="1343" t="s">
        <v>644</v>
      </c>
      <c r="X13" s="666">
        <f>IF(T14="","",110-2.5*((T14/1000)/T18)^-0.333)</f>
        <v>95.405709144647389</v>
      </c>
      <c r="Y13" s="504"/>
      <c r="Z13" s="667" t="s">
        <v>650</v>
      </c>
      <c r="AA13" s="668"/>
      <c r="AC13" s="728"/>
      <c r="AD13" s="728"/>
      <c r="AF13" s="731"/>
      <c r="AG13" s="726"/>
    </row>
    <row r="14" spans="1:35" ht="9.9499999999999993" customHeight="1">
      <c r="A14" s="2194"/>
      <c r="B14" s="1440"/>
      <c r="C14" s="8"/>
      <c r="D14" s="2165" t="s">
        <v>613</v>
      </c>
      <c r="E14" s="2166"/>
      <c r="F14" s="439" t="s">
        <v>332</v>
      </c>
      <c r="G14" s="439" t="s">
        <v>567</v>
      </c>
      <c r="H14" s="439" t="s">
        <v>566</v>
      </c>
      <c r="I14" s="440" t="s">
        <v>565</v>
      </c>
      <c r="J14" s="442" t="s">
        <v>564</v>
      </c>
      <c r="K14" s="572" t="s">
        <v>563</v>
      </c>
      <c r="L14" s="1282" t="s">
        <v>539</v>
      </c>
      <c r="M14" s="579"/>
      <c r="N14" s="1148" t="str">
        <f>IF(M12="","",IF(M14&lt;&gt;"",M14,E69))</f>
        <v/>
      </c>
      <c r="O14" s="1319" t="str">
        <f>IF(OR(M14="a",M14="b",M14="c",M14="d",M14="e",M14="f",M14="g",M14="h",M14="i"),"check input",IF(AND(M12="",M14&lt;&gt;""),"← remove",""))</f>
        <v/>
      </c>
      <c r="P14" s="1163"/>
      <c r="Q14" s="2210"/>
      <c r="R14" s="2213" t="s">
        <v>616</v>
      </c>
      <c r="S14" s="708" t="s">
        <v>657</v>
      </c>
      <c r="T14" s="698">
        <v>200</v>
      </c>
      <c r="U14" s="618"/>
      <c r="V14" s="618"/>
      <c r="W14" s="662" t="s">
        <v>645</v>
      </c>
      <c r="X14" s="669" t="str">
        <f>IF(T12="","",T18*(44-T12/2.5)^-3)</f>
        <v/>
      </c>
      <c r="Y14" s="670" t="str">
        <f>IF(X14="","",1000*X14)</f>
        <v/>
      </c>
      <c r="Z14" s="664" t="s">
        <v>651</v>
      </c>
      <c r="AA14" s="665"/>
      <c r="AE14" s="503"/>
      <c r="AF14" s="661"/>
    </row>
    <row r="15" spans="1:35" ht="9.9499999999999993" customHeight="1">
      <c r="A15" s="2194"/>
      <c r="B15" s="1440"/>
      <c r="C15" s="8"/>
      <c r="D15" s="2165" t="s">
        <v>614</v>
      </c>
      <c r="E15" s="2166"/>
      <c r="F15" s="441" t="s">
        <v>1035</v>
      </c>
      <c r="G15" s="441" t="s">
        <v>1036</v>
      </c>
      <c r="H15" s="441" t="s">
        <v>1037</v>
      </c>
      <c r="I15" s="644" t="s">
        <v>1038</v>
      </c>
      <c r="J15" s="442" t="s">
        <v>1039</v>
      </c>
      <c r="K15" s="441" t="s">
        <v>1040</v>
      </c>
      <c r="L15" s="1283" t="s">
        <v>527</v>
      </c>
      <c r="M15" s="580"/>
      <c r="N15" s="1149" t="str">
        <f>IF(M12="","",IF(M15&lt;&gt;"",M15/1000,IF(M16&lt;&gt;"",F112,F112)))</f>
        <v/>
      </c>
      <c r="O15" s="1319" t="str">
        <f>IF(OR(M15="a",M15="b",M15="c",M15="d",M15="e",M15="f",M15="g",M15="h",M15="i"),"check input",IF(AND(M12="",M15&lt;&gt;""),"← remove",""))</f>
        <v/>
      </c>
      <c r="P15" s="1163"/>
      <c r="Q15" s="2210"/>
      <c r="R15" s="2214"/>
      <c r="S15" s="709"/>
      <c r="T15" s="1516">
        <f>IF(T14="","",T14/1000)</f>
        <v>0.2</v>
      </c>
      <c r="U15" s="616"/>
      <c r="V15" s="616"/>
      <c r="W15" s="671" t="s">
        <v>646</v>
      </c>
      <c r="X15" s="672" t="str">
        <f>IF(T16="","",T18*T16^-3)</f>
        <v/>
      </c>
      <c r="Y15" s="673" t="str">
        <f>IF(X15="","",IF(1000*X15&gt;500,"",1000*X15))</f>
        <v/>
      </c>
      <c r="Z15" s="674" t="s">
        <v>652</v>
      </c>
      <c r="AA15" s="675"/>
      <c r="AE15" s="503"/>
      <c r="AF15" s="661"/>
    </row>
    <row r="16" spans="1:35" ht="9.9499999999999993" customHeight="1">
      <c r="A16" s="2194"/>
      <c r="B16" s="1440"/>
      <c r="C16" s="8"/>
      <c r="D16" s="2161" t="s">
        <v>671</v>
      </c>
      <c r="E16" s="2162"/>
      <c r="F16" s="443" t="s">
        <v>1041</v>
      </c>
      <c r="G16" s="443" t="s">
        <v>1042</v>
      </c>
      <c r="H16" s="443" t="s">
        <v>1043</v>
      </c>
      <c r="I16" s="645" t="s">
        <v>1044</v>
      </c>
      <c r="J16" s="444" t="s">
        <v>1045</v>
      </c>
      <c r="K16" s="443" t="s">
        <v>1046</v>
      </c>
      <c r="L16" s="1284" t="s">
        <v>526</v>
      </c>
      <c r="M16" s="587"/>
      <c r="N16" s="1302" t="str">
        <f>IF(M12="","",IF(M16&lt;&gt;"",M16,IF(M12="a",'Parameter tables'!C46,IF(M12="b",'Parameter tables'!C47,IF(M12="c",'Parameter tables'!C48,IF(M12="d",'Parameter tables'!C49,IF(M12="e",'Parameter tables'!C50,IF(M12="f",'Parameter tables'!C51,"?"))))))))</f>
        <v/>
      </c>
      <c r="O16" s="1319" t="str">
        <f>IF(OR(M16="a",M16="b",M16="c",M16="d",M16="e",M16="f",M16="g",M16="h",M16="i"),"check input",IF(AND(M12="",M16&lt;&gt;""),"← remove",""))</f>
        <v/>
      </c>
      <c r="P16" s="1163"/>
      <c r="Q16" s="2210"/>
      <c r="R16" s="2211" t="s">
        <v>484</v>
      </c>
      <c r="S16" s="2215" t="s">
        <v>658</v>
      </c>
      <c r="T16" s="2208"/>
      <c r="U16" s="618"/>
      <c r="V16" s="618"/>
      <c r="W16" s="676" t="s">
        <v>647</v>
      </c>
      <c r="X16" s="677">
        <f>IF(T14="","",10*(T14/T18)^-0.333)</f>
        <v>5.851173668140925</v>
      </c>
      <c r="Y16" s="678"/>
      <c r="Z16" s="664" t="s">
        <v>653</v>
      </c>
      <c r="AA16" s="665"/>
      <c r="AE16" s="503"/>
      <c r="AF16" s="661"/>
    </row>
    <row r="17" spans="1:39" ht="13.5" customHeight="1">
      <c r="A17" s="2194"/>
      <c r="B17" s="1440"/>
      <c r="C17" s="8"/>
      <c r="D17" s="517" t="s">
        <v>753</v>
      </c>
      <c r="E17" s="603"/>
      <c r="F17" s="538"/>
      <c r="G17" s="37"/>
      <c r="H17" s="1672"/>
      <c r="I17" s="1673" t="s">
        <v>993</v>
      </c>
      <c r="J17" s="1671" t="s">
        <v>729</v>
      </c>
      <c r="K17" s="445"/>
      <c r="L17" s="1285" t="s">
        <v>745</v>
      </c>
      <c r="M17" s="542"/>
      <c r="N17" s="1150" t="str">
        <f>IF(M12="","",G110)</f>
        <v/>
      </c>
      <c r="O17" s="1319" t="str">
        <f>IF(M17="","",IF(AND(M12="",M17&lt;&gt;""),"← remove",IF(OR(M17="a",M17="b",M17="c",M17="d",M17="e"),"","check input")))</f>
        <v/>
      </c>
      <c r="P17" s="1277"/>
      <c r="Q17" s="2210"/>
      <c r="R17" s="2212"/>
      <c r="S17" s="2216"/>
      <c r="T17" s="2209"/>
      <c r="U17" s="616"/>
      <c r="V17" s="616"/>
      <c r="W17" s="679" t="s">
        <v>648</v>
      </c>
      <c r="X17" s="680" t="str">
        <f>IF(T12="","",44-T12/2.5)</f>
        <v/>
      </c>
      <c r="Y17" s="681"/>
      <c r="Z17" s="682" t="s">
        <v>654</v>
      </c>
      <c r="AA17" s="668"/>
      <c r="AE17" s="8"/>
      <c r="AF17" s="412"/>
    </row>
    <row r="18" spans="1:39" ht="12" customHeight="1">
      <c r="A18" s="2194"/>
      <c r="B18" s="1440"/>
      <c r="C18" s="8"/>
      <c r="D18" s="2167" t="s">
        <v>401</v>
      </c>
      <c r="E18" s="2168"/>
      <c r="F18" s="2169"/>
      <c r="G18" s="553" t="s">
        <v>12</v>
      </c>
      <c r="H18" s="582"/>
      <c r="I18" s="561"/>
      <c r="J18" s="562"/>
      <c r="K18" s="562"/>
      <c r="L18" s="1286" t="s">
        <v>801</v>
      </c>
      <c r="M18" s="543"/>
      <c r="N18" s="1151" t="str">
        <f>IF(M12="","",G72)</f>
        <v/>
      </c>
      <c r="O18" s="1319" t="str">
        <f>IF(M18="","",IF(AND(M12="",M18&lt;&gt;""),"← remove",IF(OR(M18="a",M18="b",M18="c",M18="d",M18="e",M18="f",M18="g",M18="h",M18="i"),"","check input")))</f>
        <v/>
      </c>
      <c r="P18" s="1277"/>
      <c r="Q18" s="2210"/>
      <c r="R18" s="710" t="s">
        <v>617</v>
      </c>
      <c r="S18" s="711" t="s">
        <v>659</v>
      </c>
      <c r="T18" s="712">
        <v>40</v>
      </c>
      <c r="U18" s="1444" t="str">
        <f>IF(T18="","← must be inserted","")</f>
        <v/>
      </c>
      <c r="V18" s="618"/>
      <c r="W18" s="714"/>
      <c r="X18" s="618"/>
      <c r="Y18" s="1456"/>
      <c r="Z18" s="1456"/>
      <c r="AA18" s="1457"/>
      <c r="AE18" s="401"/>
      <c r="AF18" s="412"/>
      <c r="AG18" s="412"/>
      <c r="AH18" s="412"/>
      <c r="AJ18" s="412"/>
      <c r="AK18" s="412"/>
      <c r="AL18" s="412"/>
      <c r="AM18" s="412"/>
    </row>
    <row r="19" spans="1:39" ht="11.25" customHeight="1">
      <c r="A19" s="2194"/>
      <c r="B19" s="1440"/>
      <c r="C19" s="236"/>
      <c r="D19" s="2170"/>
      <c r="E19" s="2171"/>
      <c r="F19" s="2172"/>
      <c r="G19" s="735" t="s">
        <v>672</v>
      </c>
      <c r="H19" s="733"/>
      <c r="I19" s="552"/>
      <c r="J19" s="8"/>
      <c r="K19" s="1518" t="s">
        <v>483</v>
      </c>
      <c r="L19" s="1287" t="s">
        <v>508</v>
      </c>
      <c r="M19" s="549"/>
      <c r="N19" s="1152" t="str">
        <f>IF(M12="","",IF(OR(M10="f",M10="g",M10="h"),"",IF(M19="",'Parameter tables'!A82,N108)))</f>
        <v/>
      </c>
      <c r="O19" s="1319" t="str">
        <f>IF(M19="","",IF(AND(M12="",M19&lt;&gt;""),"← remove",IF(OR(M19="a",M19="b",M19="c",M19="d",M19="e"),"","check input")))</f>
        <v/>
      </c>
      <c r="P19" s="1277"/>
      <c r="Q19" s="2210"/>
      <c r="R19" s="1452" t="s">
        <v>819</v>
      </c>
      <c r="S19" s="413"/>
      <c r="T19" s="1445"/>
      <c r="U19" s="1461"/>
      <c r="V19" s="1461"/>
      <c r="W19" s="412"/>
      <c r="X19" s="1462" t="s">
        <v>824</v>
      </c>
      <c r="Y19" s="1464" t="s">
        <v>546</v>
      </c>
      <c r="Z19" s="1463"/>
      <c r="AA19" s="1455"/>
      <c r="AE19" s="15"/>
    </row>
    <row r="20" spans="1:39" ht="11.25" customHeight="1">
      <c r="A20" s="2194"/>
      <c r="B20" s="1440"/>
      <c r="C20" s="236"/>
      <c r="D20" s="2173"/>
      <c r="E20" s="2174"/>
      <c r="F20" s="2175"/>
      <c r="G20" s="736" t="s">
        <v>673</v>
      </c>
      <c r="H20" s="734"/>
      <c r="I20" s="1675" t="s">
        <v>1061</v>
      </c>
      <c r="J20" s="2217"/>
      <c r="K20" s="2218"/>
      <c r="L20" s="1288" t="s">
        <v>509</v>
      </c>
      <c r="M20" s="544"/>
      <c r="N20" s="1153" t="str">
        <f>IF(M12="","",IF(OR(M10="f",M10="g",M10="h"),"",IF(M20="",'Parameter tables'!A82,Q108)))</f>
        <v/>
      </c>
      <c r="O20" s="1319" t="str">
        <f>IF(M20="","",IF(AND(M12="",M20&lt;&gt;""),"← remove",IF(OR(M20="a",M20="b",M20="c",M20="d",M20="e"),"","check input")))</f>
        <v/>
      </c>
      <c r="P20" s="1277"/>
      <c r="Q20" s="2210"/>
      <c r="R20" s="2203" t="s">
        <v>822</v>
      </c>
      <c r="S20" s="2204"/>
      <c r="T20" s="1454" t="s">
        <v>820</v>
      </c>
      <c r="U20" s="715"/>
      <c r="V20" s="1471" t="s">
        <v>126</v>
      </c>
      <c r="W20" s="1468"/>
      <c r="X20" s="1514" t="s">
        <v>829</v>
      </c>
      <c r="Y20" s="1469" t="str">
        <f>IF(OR(U20="",U21=""),"",20+7*U21/U20)</f>
        <v/>
      </c>
      <c r="Z20" s="1446"/>
      <c r="AA20" s="1447"/>
      <c r="AE20" s="15"/>
    </row>
    <row r="21" spans="1:39" ht="12" customHeight="1">
      <c r="A21" s="2194"/>
      <c r="B21" s="1440"/>
      <c r="C21" s="8"/>
      <c r="D21" s="2176" t="s">
        <v>569</v>
      </c>
      <c r="E21" s="2177"/>
      <c r="F21" s="2178"/>
      <c r="G21" s="2146" t="s">
        <v>994</v>
      </c>
      <c r="H21" s="2146"/>
      <c r="I21" s="2147"/>
      <c r="J21" s="1295" t="s">
        <v>400</v>
      </c>
      <c r="K21" s="1296"/>
      <c r="L21" s="1286" t="s">
        <v>60</v>
      </c>
      <c r="M21" s="542"/>
      <c r="N21" s="1154" t="str">
        <f>IF(M12="","",G73)</f>
        <v/>
      </c>
      <c r="O21" s="1319" t="str">
        <f>IF(M21="","",IF(AND(M12="",M21&lt;&gt;""),"← remove",IF(OR(M21="a",M21="b",M21="c",M21="d",M21="e",M21="f",M21="g"),"","check input")))</f>
        <v/>
      </c>
      <c r="P21" s="1277"/>
      <c r="Q21" s="2210"/>
      <c r="R21" s="2205"/>
      <c r="S21" s="2206"/>
      <c r="T21" s="1453" t="s">
        <v>821</v>
      </c>
      <c r="U21" s="715"/>
      <c r="V21" s="1472" t="s">
        <v>126</v>
      </c>
      <c r="W21" s="1448"/>
      <c r="X21" s="1465"/>
      <c r="Y21" s="1466" t="str">
        <f>IF(Y20="","",IF(Y20&lt;30,'Parameter tables'!A63,IF(Y20&lt;38,'Parameter tables'!A64,IF(Y20&lt;60,'Parameter tables'!A65,IF(Y20&lt;150,'Parameter tables'!A66,'Parameter tables'!A67)))))</f>
        <v/>
      </c>
      <c r="Z21" s="1467" t="str">
        <f>IF(Y21="","","blocks")</f>
        <v/>
      </c>
      <c r="AA21" s="1449"/>
      <c r="AE21" s="17"/>
    </row>
    <row r="22" spans="1:39" ht="12" customHeight="1">
      <c r="A22" s="2194"/>
      <c r="B22" s="1440"/>
      <c r="C22" s="369"/>
      <c r="D22" s="2179"/>
      <c r="E22" s="2180"/>
      <c r="F22" s="2181"/>
      <c r="G22" s="2148"/>
      <c r="H22" s="2148"/>
      <c r="I22" s="2149"/>
      <c r="J22" s="2231" t="s">
        <v>399</v>
      </c>
      <c r="K22" s="2232"/>
      <c r="L22" s="1289" t="s">
        <v>67</v>
      </c>
      <c r="M22" s="545"/>
      <c r="N22" s="1155" t="str">
        <f>IF(M12="","",G74)</f>
        <v/>
      </c>
      <c r="O22" s="1319" t="str">
        <f>IF(M22="","",IF(AND(M12="",M22&lt;&gt;""),"← remove",IF(OR(M22="a",M22="b",M22="c",M22="d",M22="e",M22="f"),"","check input")))</f>
        <v/>
      </c>
      <c r="P22" s="1277"/>
      <c r="Q22" s="2210"/>
      <c r="R22" s="1460" t="s">
        <v>823</v>
      </c>
      <c r="S22" s="1450"/>
      <c r="T22" s="1451"/>
      <c r="U22" s="1459"/>
      <c r="V22" s="591"/>
      <c r="W22" s="591"/>
      <c r="X22" s="591"/>
      <c r="Y22" s="591"/>
      <c r="Z22" s="591"/>
      <c r="AA22" s="1455"/>
      <c r="AB22" s="419"/>
      <c r="AE22" s="8"/>
    </row>
    <row r="23" spans="1:39" ht="12" customHeight="1">
      <c r="A23" s="2194"/>
      <c r="B23" s="1440"/>
      <c r="C23" s="8"/>
      <c r="D23" s="2179"/>
      <c r="E23" s="2180"/>
      <c r="F23" s="2181"/>
      <c r="G23" s="581" t="s">
        <v>568</v>
      </c>
      <c r="H23" s="6"/>
      <c r="I23" s="2236"/>
      <c r="J23" s="1295" t="s">
        <v>570</v>
      </c>
      <c r="K23" s="1291"/>
      <c r="L23" s="1286" t="s">
        <v>510</v>
      </c>
      <c r="M23" s="543"/>
      <c r="N23" s="2225" t="str">
        <f>IF(M12="","",G107)</f>
        <v/>
      </c>
      <c r="O23" s="1319" t="str">
        <f>IF(M23="","",IF(AND(M12="",M23&lt;&gt;""),"← remove",IF(AND(M23&lt;&gt;"",M24&lt;&gt;""),"← only ONE input for 'Ja'",IF(OR(M23="a",M23="b",M23="c",M23="d",M23="e",M23="f"),"","check input"))))</f>
        <v/>
      </c>
      <c r="P23" s="1320"/>
      <c r="Q23" s="1402"/>
      <c r="R23" s="1470" t="s">
        <v>746</v>
      </c>
      <c r="S23" s="1458"/>
      <c r="T23" s="647"/>
      <c r="U23" s="647"/>
      <c r="V23" s="647"/>
      <c r="W23" s="647"/>
      <c r="X23" s="647"/>
      <c r="Y23" s="647"/>
      <c r="Z23" s="647"/>
      <c r="AA23" s="35"/>
      <c r="AB23" s="419"/>
      <c r="AE23" s="8"/>
    </row>
    <row r="24" spans="1:39" ht="12" customHeight="1">
      <c r="A24" s="2194"/>
      <c r="B24" s="1440"/>
      <c r="C24" s="369"/>
      <c r="D24" s="2182"/>
      <c r="E24" s="2183"/>
      <c r="F24" s="2184"/>
      <c r="G24" s="548" t="s">
        <v>815</v>
      </c>
      <c r="H24" s="541"/>
      <c r="I24" s="2237"/>
      <c r="J24" s="1770" t="s">
        <v>571</v>
      </c>
      <c r="K24" s="1292"/>
      <c r="L24" s="1290" t="s">
        <v>510</v>
      </c>
      <c r="M24" s="564"/>
      <c r="N24" s="2226"/>
      <c r="O24" s="1558" t="str">
        <f>IF(M24="","",IF(AND(M12="",M24&lt;&gt;""),"← remove",IF(OR(M24="h",M24="i",M24="j",M24="k",M24="l",M24="m",M24="n",M24="o"),"","check input")))</f>
        <v/>
      </c>
      <c r="P24" s="1559"/>
      <c r="Q24" s="1402"/>
      <c r="Z24" s="1408"/>
      <c r="AE24" s="8"/>
    </row>
    <row r="25" spans="1:39" ht="12" customHeight="1">
      <c r="A25" s="2194"/>
      <c r="B25" s="1440"/>
      <c r="C25" s="8"/>
      <c r="D25" s="2185" t="s">
        <v>559</v>
      </c>
      <c r="E25" s="2186"/>
      <c r="F25" s="2187"/>
      <c r="G25" s="550" t="s">
        <v>784</v>
      </c>
      <c r="H25" s="646"/>
      <c r="I25" s="562"/>
      <c r="J25" s="558"/>
      <c r="K25" s="1293"/>
      <c r="L25" s="1286" t="s">
        <v>79</v>
      </c>
      <c r="M25" s="549"/>
      <c r="N25" s="1151" t="str">
        <f>IF(M12="","",G108)</f>
        <v/>
      </c>
      <c r="O25" s="1319" t="str">
        <f>IF(M25="","",IF(AND(M12="",M25&lt;&gt;""),"← remove",IF(OR(M25="a",M25="b",M25="c",M25="d",M25="e",M25="f",M25="g"),"","check input")))</f>
        <v/>
      </c>
      <c r="P25" s="1277"/>
      <c r="Q25" s="1402"/>
      <c r="R25" s="2127" t="s">
        <v>622</v>
      </c>
      <c r="S25" s="2127"/>
      <c r="T25" s="2127"/>
      <c r="U25" s="2127"/>
      <c r="V25" s="2127"/>
      <c r="W25" s="2127"/>
      <c r="X25" s="2127"/>
      <c r="Y25" s="2127"/>
      <c r="Z25" s="2127"/>
      <c r="AE25" s="8"/>
    </row>
    <row r="26" spans="1:39" ht="12" customHeight="1">
      <c r="A26" s="2194"/>
      <c r="B26" s="1440"/>
      <c r="C26" s="565"/>
      <c r="D26" s="2188"/>
      <c r="E26" s="2189"/>
      <c r="F26" s="2190"/>
      <c r="G26" s="554" t="s">
        <v>785</v>
      </c>
      <c r="H26" s="557"/>
      <c r="I26" s="555"/>
      <c r="J26" s="556"/>
      <c r="K26" s="556"/>
      <c r="L26" s="1289" t="s">
        <v>322</v>
      </c>
      <c r="M26" s="544"/>
      <c r="N26" s="1156" t="str">
        <f>IF(M12="","",IF(M26="",'Parameter tables'!A131,IF(M26="a",'Parameter tables'!A129,IF(M26="b",'Parameter tables'!A130,IF(M26="c",'Parameter tables'!A131,IF(M26="d",'Parameter tables'!A132,IF(M26="e",'Parameter tables'!A133,"?")))))))</f>
        <v/>
      </c>
      <c r="O26" s="1319" t="str">
        <f>IF(M26="","",IF(AND(M12="",M26&lt;&gt;""),"← remove",IF(OR(M26="a",M26="b",M26="c",M26="d",M26="e"),"","check input")))</f>
        <v/>
      </c>
      <c r="P26" s="1163"/>
      <c r="Q26" s="1402"/>
      <c r="R26" s="628"/>
      <c r="S26" s="1768" t="s">
        <v>299</v>
      </c>
      <c r="T26" s="1769" t="str">
        <f>IF(T27&gt;90,"use strike value ≤ 90",IF(T28&gt;90,"use dip &lt; 90",""))</f>
        <v/>
      </c>
      <c r="U26" s="1769"/>
      <c r="V26" s="16"/>
      <c r="W26" s="702" t="s">
        <v>288</v>
      </c>
      <c r="X26" s="703"/>
      <c r="Y26" s="16"/>
      <c r="Z26" s="34"/>
      <c r="AE26" s="8"/>
    </row>
    <row r="27" spans="1:39" ht="12" customHeight="1">
      <c r="A27" s="2194"/>
      <c r="B27" s="1440"/>
      <c r="C27" s="21"/>
      <c r="D27" s="605" t="s">
        <v>414</v>
      </c>
      <c r="E27" s="583"/>
      <c r="F27" s="584"/>
      <c r="G27" s="585"/>
      <c r="H27" s="445"/>
      <c r="I27" s="445"/>
      <c r="J27" s="445"/>
      <c r="K27" s="1294"/>
      <c r="L27" s="1304" t="s">
        <v>524</v>
      </c>
      <c r="M27" s="586"/>
      <c r="N27" s="1157" t="str">
        <f>IF(M12="","",G80)</f>
        <v/>
      </c>
      <c r="O27" s="1319" t="str">
        <f>IF(M27="","",IF(AND(M12="",M27&lt;&gt;""),"← remove",IF(OR(M27="a",M27="b",M27="c",M27="d",M27="e",M27="f",M27="g"),"","check input")))</f>
        <v/>
      </c>
      <c r="P27" s="1163"/>
      <c r="Q27" s="1402"/>
      <c r="R27" s="403"/>
      <c r="S27" s="328" t="s">
        <v>555</v>
      </c>
      <c r="T27" s="713"/>
      <c r="U27" s="22"/>
      <c r="V27" s="8"/>
      <c r="W27" s="37"/>
      <c r="X27" s="1557" t="str">
        <f>IF(T27="","",IF(T28&gt;'Parameter tables'!$AF$171,'Parameter tables'!$O$170,IF(T28&gt;='Parameter tables'!$AD$172,'Parameter tables'!$O$172,IF(T28&gt;='Parameter tables'!$AD$173,'Parameter tables'!$O$173,IF(T28&gt;='Parameter tables'!$AD$175,'Parameter tables'!$O$175,'Parameter tables'!$O$176)))))</f>
        <v/>
      </c>
      <c r="Y27" s="704" t="s">
        <v>207</v>
      </c>
      <c r="Z27" s="21"/>
      <c r="AE27" s="8"/>
    </row>
    <row r="28" spans="1:39" ht="12" customHeight="1">
      <c r="A28" s="2194"/>
      <c r="B28" s="1548"/>
      <c r="C28" s="402"/>
      <c r="D28" s="1542" t="s">
        <v>828</v>
      </c>
      <c r="E28" s="1543"/>
      <c r="F28" s="1544"/>
      <c r="G28" s="476"/>
      <c r="H28" s="445"/>
      <c r="I28" s="476"/>
      <c r="J28" s="476"/>
      <c r="K28" s="1545" t="str">
        <f>IF(M28="","",IF(AND(M31&lt;&gt;"",M28="e"),"Remove one SRF input ",IF(AND(M31&lt;&gt;"",M28="f"),"Remove one SRF input ",IF(AND(M31&lt;&gt;"",M28="g"),"Remove one SRF input ",IF(AND(M31&lt;&gt;"",M28="h"),"Remove one SRF input ",IF(AND(M31&lt;&gt;"",M28="i"),"Remove one SRF input ",""))))))</f>
        <v/>
      </c>
      <c r="L28" s="1546" t="s">
        <v>661</v>
      </c>
      <c r="M28" s="586"/>
      <c r="N28" s="1547" t="str">
        <f>IF(M12="","",IF(M28="",'Parameter tables'!A150,IF(M28="a",'Parameter tables'!A148,IF(M28="b",'Parameter tables'!A149,IF(M28="c",'Parameter tables'!A150,IF(M28="d",'Parameter tables'!A151,IF(M28="e",'Parameter tables'!A153,IF(M28="f",'Parameter tables'!A154,IF(M28="g",'Parameter tables'!A155,IF(M28="h",'Parameter tables'!A156,IF(M28="i",'Parameter tables'!A157,"")))))))))))</f>
        <v/>
      </c>
      <c r="O28" s="1558" t="str">
        <f>IF(M28="","",IF(AND(M12="",M28&lt;&gt;""),"← remove",IF(OR(M28="a",M28="b",M28="c",M28="d",M28="e",M28="f",M28="g",M28="h",M28="i"),"","check input")))</f>
        <v/>
      </c>
      <c r="P28" s="1278"/>
      <c r="Q28" s="1403"/>
      <c r="R28" s="403"/>
      <c r="S28" s="328" t="s">
        <v>556</v>
      </c>
      <c r="T28" s="713"/>
      <c r="U28" s="706"/>
      <c r="V28" s="8"/>
      <c r="W28" s="37"/>
      <c r="X28" s="1557" t="str">
        <f>IF(T28="","",IF(T28&lt;'Parameter tables'!V170,'Parameter tables'!O170,IF(T27&gt;'Parameter tables'!$S$171,'Parameter tables'!$O$170,IF(AND(T27&lt;'Parameter tables'!$S$172,T28&lt;'Parameter tables'!$V$172,T28&gt;'Parameter tables'!$T$172),'Parameter tables'!$O$172,IF(AND(T27&lt;'Parameter tables'!$S$173,T28&lt;='Parameter tables'!$V$173,T28&gt;='Parameter tables'!$T$173),'Parameter tables'!$O$173,IF(AND(T27&lt;='Parameter tables'!$S$174,T27&gt;='Parameter tables'!$Q$174,T28&lt;'Parameter tables'!$V$174),'Parameter tables'!$O$173,IF(AND(T27&lt;='Parameter tables'!$S$175,T27&gt;='Parameter tables'!$Q$175,T28&lt;='Parameter tables'!$V$175,T28&gt;='Parameter tables'!$T$175),'Parameter tables'!$O$175,IF(AND(T27&lt;'Parameter tables'!$S$176,T28&lt;='Parameter tables'!$V$176,T28&gt;='Parameter tables'!$T$176),'Parameter tables'!$O$176,"?"))))))))</f>
        <v/>
      </c>
      <c r="Y28" s="704" t="s">
        <v>358</v>
      </c>
      <c r="Z28" s="21"/>
      <c r="AE28" s="683"/>
      <c r="AF28" s="683"/>
      <c r="AG28" s="683"/>
      <c r="AH28" s="683"/>
      <c r="AI28" s="683"/>
    </row>
    <row r="29" spans="1:39" ht="12" customHeight="1">
      <c r="A29" s="2194"/>
      <c r="B29" s="2238" t="s">
        <v>1058</v>
      </c>
      <c r="C29" s="2239"/>
      <c r="D29" s="2240"/>
      <c r="E29" s="2244" t="s">
        <v>1057</v>
      </c>
      <c r="F29" s="2245"/>
      <c r="G29" s="2245"/>
      <c r="H29" s="2245"/>
      <c r="I29" s="1778"/>
      <c r="J29" s="1779" t="s">
        <v>992</v>
      </c>
      <c r="K29" s="1780" t="s">
        <v>729</v>
      </c>
      <c r="L29" s="1781" t="s">
        <v>1014</v>
      </c>
      <c r="M29" s="1782"/>
      <c r="N29" s="1668" t="str">
        <f>IF(M12="","",IF(M29="","",M29))</f>
        <v/>
      </c>
      <c r="O29" s="1558" t="str">
        <f>IF(M29="","",IF(AND(M$12="",M29&lt;&gt;""),"← remove",IF(OR(M29="a",M29="b",M29="c",M29="d",M29="e",M29="f",M29="g",M29="h",M29="i"),"check input","")))</f>
        <v/>
      </c>
      <c r="P29" s="1278"/>
      <c r="Q29" s="1403"/>
      <c r="R29" s="403"/>
      <c r="S29" s="33"/>
      <c r="T29" s="706"/>
      <c r="U29" s="8"/>
      <c r="V29" s="1557" t="str">
        <f>IF(T28="","",IF(T28&lt;'Parameter tables'!AB170,'Parameter tables'!O170,IF(T27&gt;'Parameter tables'!$Y$171,'Parameter tables'!$O$170,IF(AND(T27&lt;'Parameter tables'!$Y$172,T28&lt;'Parameter tables'!$AB$172),'Parameter tables'!$O$172,IF(AND(T27&lt;'Parameter tables'!$Y$173,T28&lt;='Parameter tables'!$AB$173),'Parameter tables'!$O$173,IF(AND(T27&lt;='Parameter tables'!$Y$174,T27&gt;='Parameter tables'!$W$174),'Parameter tables'!$O$173,IF(AND(T27&lt;'Parameter tables'!$Y$175,T28&gt;'Parameter tables'!$AB$175),'Parameter tables'!$O$175,"?")))))))</f>
        <v/>
      </c>
      <c r="W29" s="1557"/>
      <c r="X29" s="1557"/>
      <c r="Y29" s="1555" t="s">
        <v>359</v>
      </c>
      <c r="Z29" s="1556"/>
      <c r="AE29" s="683"/>
      <c r="AF29" s="683"/>
      <c r="AG29" s="683"/>
      <c r="AH29" s="683"/>
      <c r="AI29" s="683"/>
    </row>
    <row r="30" spans="1:39" ht="12" customHeight="1" thickBot="1">
      <c r="A30" s="2195"/>
      <c r="B30" s="2241"/>
      <c r="C30" s="2242"/>
      <c r="D30" s="2243"/>
      <c r="E30" s="2246" t="s">
        <v>1015</v>
      </c>
      <c r="F30" s="2246"/>
      <c r="G30" s="2246"/>
      <c r="H30" s="2246"/>
      <c r="I30" s="1784"/>
      <c r="J30" s="1785"/>
      <c r="K30" s="1783"/>
      <c r="L30" s="1786" t="s">
        <v>1016</v>
      </c>
      <c r="M30" s="1787"/>
      <c r="N30" s="1666" t="str">
        <f>IF(M12="","",IF(N29="","",IF(M30="",1,M30)))</f>
        <v/>
      </c>
      <c r="O30" s="1558" t="str">
        <f>IF(M30="","",IF(AND(M$12="",M30&lt;&gt;""),"← remove",IF(OR(M30="a",M30="b",M30="c",M30="d",M30="e",M30="f",M30="g",M30="h",M30="i"),"check input","")))</f>
        <v/>
      </c>
      <c r="P30" s="1278"/>
      <c r="Q30" s="1403"/>
      <c r="R30" s="705" t="s">
        <v>788</v>
      </c>
      <c r="S30" s="33"/>
      <c r="T30" s="8"/>
      <c r="U30" s="8"/>
      <c r="V30" s="1557"/>
      <c r="W30" s="1557"/>
      <c r="X30" s="1557"/>
      <c r="Y30" s="1555"/>
      <c r="Z30" s="1556"/>
      <c r="AE30" s="683"/>
      <c r="AF30" s="683"/>
      <c r="AG30" s="683"/>
      <c r="AH30" s="683"/>
      <c r="AI30" s="683"/>
    </row>
    <row r="31" spans="1:39" ht="6" customHeight="1" thickTop="1">
      <c r="A31" s="2196" t="s">
        <v>772</v>
      </c>
      <c r="B31" s="1440"/>
      <c r="C31" s="8"/>
      <c r="D31" s="8"/>
      <c r="E31" s="2199" t="s">
        <v>827</v>
      </c>
      <c r="F31" s="2200"/>
      <c r="G31" s="2200"/>
      <c r="H31" s="2200"/>
      <c r="I31" s="2223" t="str">
        <f>IF(M31="","Input of SRFz is required for                      calculation of weak zone","")</f>
        <v>Input of SRFz is required for                      calculation of weak zone</v>
      </c>
      <c r="J31" s="2223"/>
      <c r="K31" s="2223"/>
      <c r="L31" s="2257" t="s">
        <v>630</v>
      </c>
      <c r="M31" s="2259"/>
      <c r="N31" s="2191" t="str">
        <f>IF(M31="f","assumed zone composition",IF(M31="g","crushed, clayfree zone",IF(M31="h","Crushed and seamy zone",IF(M31="i","Zone with soft or weak filling",""))))</f>
        <v/>
      </c>
      <c r="O31" s="1161"/>
      <c r="P31" s="1278"/>
      <c r="Q31" s="1402"/>
      <c r="R31" s="1758"/>
      <c r="S31" s="33"/>
      <c r="T31" s="8"/>
      <c r="U31" s="8"/>
      <c r="V31" s="8"/>
      <c r="W31" s="8"/>
      <c r="X31" s="8"/>
      <c r="Y31" s="8"/>
      <c r="Z31" s="21"/>
      <c r="AE31" s="683"/>
      <c r="AF31" s="683"/>
      <c r="AG31" s="683"/>
      <c r="AH31" s="683"/>
      <c r="AI31" s="683"/>
    </row>
    <row r="32" spans="1:39" ht="12" customHeight="1">
      <c r="A32" s="2194"/>
      <c r="B32" s="654"/>
      <c r="C32" s="236"/>
      <c r="D32" s="8"/>
      <c r="E32" s="2201"/>
      <c r="F32" s="2202"/>
      <c r="G32" s="2202"/>
      <c r="H32" s="2202"/>
      <c r="I32" s="2224"/>
      <c r="J32" s="2224"/>
      <c r="K32" s="2224"/>
      <c r="L32" s="2258"/>
      <c r="M32" s="2260"/>
      <c r="N32" s="2192"/>
      <c r="O32" s="1162" t="str">
        <f>IF(AND(M31="",M12=""),"← input",IF(AND(M31="",M12&lt;&gt;""),"",IF(OR(M31="f",M31="g",M31="h",M31="i"),"","check input")))</f>
        <v>← input</v>
      </c>
      <c r="P32" s="1279"/>
      <c r="Q32" s="1402"/>
      <c r="R32" s="404"/>
      <c r="S32" s="29"/>
      <c r="T32" s="511" t="s">
        <v>557</v>
      </c>
      <c r="U32" s="511"/>
      <c r="V32" s="511"/>
      <c r="W32" s="511"/>
      <c r="X32" s="511"/>
      <c r="Y32" s="511"/>
      <c r="Z32" s="402"/>
      <c r="AE32" s="684"/>
      <c r="AF32" s="684"/>
      <c r="AG32" s="684"/>
      <c r="AH32" s="684"/>
      <c r="AI32" s="684"/>
    </row>
    <row r="33" spans="1:35" ht="12.75" customHeight="1">
      <c r="A33" s="2194"/>
      <c r="B33" s="654"/>
      <c r="C33" s="236"/>
      <c r="D33" s="8"/>
      <c r="E33" s="1409" t="s">
        <v>627</v>
      </c>
      <c r="F33" s="591"/>
      <c r="G33" s="437"/>
      <c r="H33" s="413"/>
      <c r="I33" s="413"/>
      <c r="J33" s="413"/>
      <c r="K33" s="437"/>
      <c r="L33" s="1297" t="s">
        <v>572</v>
      </c>
      <c r="M33" s="650"/>
      <c r="N33" s="1158" t="str">
        <f>IF(M31="","",IF(M33&lt;&gt;"","",IF(M33&lt;&gt;"",M33,IF(M31="f",'Parameter tables'!R162,IF(M31="g",'Parameter tables'!R163,IF(M31="h",'Parameter tables'!R164,IF(M31="i",'Parameter tables'!R165,"")))))))</f>
        <v/>
      </c>
      <c r="O33" s="1674" t="str">
        <f>IF(AND(M33&lt;&gt;"",M31=""),"← remove",IF(OR(M33="a",M33="b",M33="c",M33="d",M33="e"),"check input",""))</f>
        <v/>
      </c>
      <c r="P33" s="1163"/>
      <c r="Q33" s="1402"/>
      <c r="AE33" s="684"/>
      <c r="AF33" s="684"/>
      <c r="AG33" s="684"/>
      <c r="AH33" s="684"/>
      <c r="AI33" s="684"/>
    </row>
    <row r="34" spans="1:35" ht="13.5" customHeight="1">
      <c r="A34" s="2194"/>
      <c r="B34" s="654"/>
      <c r="C34" s="236"/>
      <c r="D34" s="8"/>
      <c r="E34" s="648" t="s">
        <v>529</v>
      </c>
      <c r="F34" s="591"/>
      <c r="G34" s="551"/>
      <c r="H34" s="413"/>
      <c r="I34" s="413"/>
      <c r="J34" s="413"/>
      <c r="K34" s="1300"/>
      <c r="L34" s="1298" t="s">
        <v>573</v>
      </c>
      <c r="M34" s="651"/>
      <c r="N34" s="1159" t="str">
        <f>IF(M31="","",IF(M34&lt;&gt;"","",IF(M34&lt;&gt;"",M34,G60)))</f>
        <v/>
      </c>
      <c r="O34" s="1674" t="str">
        <f>IF(OR(M34="a",M34="b",M34="c",M34="d",M34="e",M34="f",M34="g",M34="h",M34="i",M34="j",M34="k",M34="l",M34="m",M34="n",M34="o",M34="p",M34="q"),"check input",IF(AND(M34&lt;&gt;"",M31=""),"← remove",""))</f>
        <v/>
      </c>
      <c r="P34" s="1277"/>
      <c r="Q34" s="1402"/>
      <c r="AE34" s="685"/>
      <c r="AF34" s="685"/>
      <c r="AG34" s="685"/>
      <c r="AH34" s="684"/>
      <c r="AI34" s="684"/>
    </row>
    <row r="35" spans="1:35" ht="13.5" customHeight="1">
      <c r="A35" s="2194"/>
      <c r="B35" s="654"/>
      <c r="C35" s="236"/>
      <c r="D35" s="8"/>
      <c r="E35" s="648" t="s">
        <v>762</v>
      </c>
      <c r="F35" s="591"/>
      <c r="G35" s="437"/>
      <c r="H35" s="413"/>
      <c r="I35" s="413"/>
      <c r="J35" s="413"/>
      <c r="K35" s="437"/>
      <c r="L35" s="1298" t="s">
        <v>574</v>
      </c>
      <c r="M35" s="652"/>
      <c r="N35" s="1160" t="str">
        <f>IF(M31="","",IF(M35&lt;&gt;"","",IF(OR(M31="f",M31="g",M31="h",M31="i"),F125,"?")))</f>
        <v/>
      </c>
      <c r="O35" s="1674" t="str">
        <f>IF(OR(M35="a",M35="b",M35="c",M35="d",M35="e",M35="f",M35="g",M35="h",M35="i",M35="j",M35="k",M35="l",M35="m",M35="n",M35="o",M35="p",M35="q"),"check input",IF(AND(M35&lt;&gt;"",M31=""),"← remove",""))</f>
        <v/>
      </c>
      <c r="P35" s="1277"/>
      <c r="Q35" s="1402"/>
      <c r="R35" s="622"/>
      <c r="S35" s="595"/>
      <c r="V35" s="8"/>
      <c r="AE35" s="686"/>
      <c r="AF35" s="687"/>
      <c r="AG35" s="687"/>
      <c r="AH35" s="516"/>
      <c r="AI35" s="516"/>
    </row>
    <row r="36" spans="1:35" ht="11.1" customHeight="1">
      <c r="A36" s="2194"/>
      <c r="B36" s="654"/>
      <c r="C36" s="236"/>
      <c r="D36" s="8"/>
      <c r="E36" s="1933" t="s">
        <v>789</v>
      </c>
      <c r="F36" s="1934"/>
      <c r="G36" s="1934"/>
      <c r="H36" s="1927" t="s">
        <v>1060</v>
      </c>
      <c r="I36" s="1928"/>
      <c r="J36" s="2219"/>
      <c r="K36" s="2220"/>
      <c r="L36" s="1298" t="s">
        <v>511</v>
      </c>
      <c r="M36" s="549"/>
      <c r="N36" s="1152" t="str">
        <f>IF(M31="","",IF(OR(M31="a",M31="b",M31="c",M31="d",M31="e"),"",IF(M36="",'Parameter tables'!A173,G132)))</f>
        <v/>
      </c>
      <c r="O36" s="1313" t="str">
        <f>IF(AND(M36&lt;&gt;"",M31=""),"← remove",IF(OR(M36="",M36="a",M36="b",M36="c",M36="d",M36="e"),"","check input"))</f>
        <v/>
      </c>
      <c r="P36" s="1277"/>
      <c r="Q36" s="1402"/>
      <c r="R36" s="620" t="s">
        <v>816</v>
      </c>
      <c r="S36" s="4"/>
      <c r="AE36" s="686"/>
      <c r="AF36" s="3"/>
      <c r="AG36" s="3"/>
      <c r="AH36" s="8"/>
      <c r="AI36" s="8"/>
    </row>
    <row r="37" spans="1:35" ht="11.1" customHeight="1">
      <c r="A37" s="2194"/>
      <c r="B37" s="654"/>
      <c r="C37" s="236"/>
      <c r="D37" s="8"/>
      <c r="E37" s="1935"/>
      <c r="F37" s="1936"/>
      <c r="G37" s="1936"/>
      <c r="H37" s="1929"/>
      <c r="I37" s="1929"/>
      <c r="J37" s="2221"/>
      <c r="K37" s="2222"/>
      <c r="L37" s="1299" t="s">
        <v>512</v>
      </c>
      <c r="M37" s="653"/>
      <c r="N37" s="643" t="str">
        <f>IF(M31="","",IF(OR(M31="a",M31="b",M31="c",M31="d",M31="e"),"",IF(M37="",'Parameter tables'!A173,G133)))</f>
        <v/>
      </c>
      <c r="O37" s="1313" t="str">
        <f>IF(AND(M37&lt;&gt;"",M31=""),"← remove",IF(OR(M37="",M37="a",M37="b",M37="c",M37="d",M37="e"),"","check input"))</f>
        <v/>
      </c>
      <c r="P37" s="1277"/>
      <c r="Q37" s="1402"/>
      <c r="R37" s="621" t="s">
        <v>817</v>
      </c>
      <c r="S37" s="4"/>
      <c r="AE37" s="426"/>
      <c r="AF37" s="426"/>
      <c r="AG37" s="425"/>
      <c r="AH37" s="8"/>
      <c r="AI37" s="8"/>
    </row>
    <row r="38" spans="1:35" ht="13.5" customHeight="1">
      <c r="A38" s="2194"/>
      <c r="B38" s="654"/>
      <c r="C38" s="236"/>
      <c r="D38" s="8"/>
      <c r="E38" s="655" t="s">
        <v>554</v>
      </c>
      <c r="F38" s="591"/>
      <c r="G38" s="656"/>
      <c r="H38" s="591"/>
      <c r="I38" s="657"/>
      <c r="J38" s="657"/>
      <c r="K38" s="1301" t="str">
        <f>IF(M38="o","Swelling clay filling is not included in RMR and RMi","")</f>
        <v/>
      </c>
      <c r="L38" s="1299" t="s">
        <v>530</v>
      </c>
      <c r="M38" s="653"/>
      <c r="N38" s="643" t="str">
        <f>IF(M31="","",G128)</f>
        <v/>
      </c>
      <c r="O38" s="1674" t="str">
        <f>IF(AND(M$31="",M38&lt;&gt;""),"← remove",IF(OR(M38="",M38="b",M38="c",M38="e",M38="f",M38="i",M38="m",M38="o"),"","check input"))</f>
        <v/>
      </c>
      <c r="P38" s="1561"/>
      <c r="Q38" s="732"/>
      <c r="R38" s="1825" t="s">
        <v>818</v>
      </c>
      <c r="S38" s="1826"/>
      <c r="T38" s="41"/>
      <c r="U38" s="1826"/>
      <c r="V38" s="41"/>
      <c r="W38" s="41"/>
      <c r="X38" s="41"/>
      <c r="Y38" s="41"/>
      <c r="Z38" s="41"/>
      <c r="AA38" s="41"/>
      <c r="AE38" s="426"/>
      <c r="AF38" s="426"/>
      <c r="AG38" s="425"/>
      <c r="AH38" s="8"/>
      <c r="AI38" s="8"/>
    </row>
    <row r="39" spans="1:35" ht="13.5" customHeight="1">
      <c r="A39" s="2194"/>
      <c r="B39" s="1549"/>
      <c r="C39" s="1550"/>
      <c r="D39" s="647"/>
      <c r="E39" s="1772" t="s">
        <v>638</v>
      </c>
      <c r="F39" s="647"/>
      <c r="G39" s="1527"/>
      <c r="H39" s="647"/>
      <c r="I39" s="1528"/>
      <c r="J39" s="1528"/>
      <c r="K39" s="1529"/>
      <c r="L39" s="1530" t="s">
        <v>524</v>
      </c>
      <c r="M39" s="1531"/>
      <c r="N39" s="1511" t="str">
        <f>IF(M31="","",H80)</f>
        <v/>
      </c>
      <c r="O39" s="1190" t="str">
        <f>IF(M39="","",IF(AND(M31="",M39&lt;&gt;""),"← remove",IF(OR(M39="a",M39="b",M39="c",M39="d",M39="e",M39="f",M39="g"),"","check input")))</f>
        <v/>
      </c>
      <c r="P39" s="1163"/>
      <c r="R39" s="1827" t="s">
        <v>437</v>
      </c>
      <c r="S39" s="1826"/>
      <c r="T39" s="41"/>
      <c r="U39" s="1826"/>
      <c r="V39" s="41"/>
      <c r="W39" s="41"/>
      <c r="X39" s="41"/>
      <c r="Y39" s="41"/>
      <c r="Z39" s="41"/>
      <c r="AA39" s="41"/>
      <c r="AE39" s="426"/>
      <c r="AF39" s="426"/>
      <c r="AG39" s="425"/>
      <c r="AH39" s="8"/>
      <c r="AI39" s="8"/>
    </row>
    <row r="40" spans="1:35" ht="13.5" customHeight="1">
      <c r="A40" s="2194"/>
      <c r="B40" s="2247" t="s">
        <v>1058</v>
      </c>
      <c r="C40" s="2248"/>
      <c r="D40" s="2249"/>
      <c r="E40" s="2253" t="s">
        <v>1059</v>
      </c>
      <c r="F40" s="2254"/>
      <c r="G40" s="2254"/>
      <c r="H40" s="2254"/>
      <c r="I40" s="1839"/>
      <c r="J40" s="1840" t="s">
        <v>992</v>
      </c>
      <c r="K40" s="1841" t="s">
        <v>729</v>
      </c>
      <c r="L40" s="1837" t="s">
        <v>1047</v>
      </c>
      <c r="M40" s="1789"/>
      <c r="N40" s="1668" t="str">
        <f>IF(M31="","",IF(M40="","",M40))</f>
        <v/>
      </c>
      <c r="O40" s="1558" t="str">
        <f>IF(M40="","",IF(AND(M$31="",M40&lt;&gt;""),"← remove",IF(OR(M40="a",M40="b",M40="c",M40="d",M40="e",M40="f",M40="g",M40="h",M40="i"),"check input","")))</f>
        <v/>
      </c>
      <c r="P40" s="1163"/>
      <c r="R40" s="1443"/>
      <c r="S40" s="8"/>
      <c r="U40" s="8"/>
      <c r="AE40" s="426"/>
      <c r="AF40" s="426"/>
      <c r="AG40" s="425"/>
      <c r="AH40" s="8"/>
      <c r="AI40" s="8"/>
    </row>
    <row r="41" spans="1:35" ht="13.5" customHeight="1" thickBot="1">
      <c r="A41" s="2195"/>
      <c r="B41" s="2250"/>
      <c r="C41" s="2251"/>
      <c r="D41" s="2252"/>
      <c r="E41" s="1842" t="s">
        <v>1049</v>
      </c>
      <c r="G41" s="1843"/>
      <c r="H41" s="1844"/>
      <c r="I41" s="1845"/>
      <c r="J41" s="1846"/>
      <c r="K41" s="1847"/>
      <c r="L41" s="1838" t="s">
        <v>1048</v>
      </c>
      <c r="M41" s="1790"/>
      <c r="N41" s="1667" t="str">
        <f>IF(M31="","",IF(N40="","",IF(M41="",1,M41)))</f>
        <v/>
      </c>
      <c r="O41" s="1558" t="str">
        <f>IF(M41="","",IF(AND(M$31="",M41&lt;&gt;""),"← remove",IF(OR(M41="a",M41="b",M41="c",M41="d",M41="e",M41="f",M41="g",M41="h",M41="i"),"check input","")))</f>
        <v/>
      </c>
      <c r="P41" s="1163"/>
      <c r="R41" s="1443"/>
      <c r="S41" s="8"/>
      <c r="U41" s="8"/>
      <c r="AE41" s="426"/>
      <c r="AF41" s="426"/>
      <c r="AG41" s="425"/>
      <c r="AH41" s="8"/>
      <c r="AI41" s="8"/>
    </row>
    <row r="42" spans="1:35" ht="13.5" customHeight="1" thickTop="1">
      <c r="A42" s="700" t="s">
        <v>1017</v>
      </c>
      <c r="B42" s="1173"/>
      <c r="C42" s="1173"/>
      <c r="D42" s="598"/>
      <c r="E42" s="598"/>
      <c r="F42" s="599"/>
      <c r="G42" s="599"/>
      <c r="H42" s="599"/>
      <c r="I42" s="600" t="s">
        <v>548</v>
      </c>
      <c r="J42" s="601"/>
      <c r="K42" s="602"/>
      <c r="L42" s="602"/>
      <c r="M42" s="1862" t="str">
        <f>IF(AND(O41="",O40="",O39="",O38="",O37="",O36="",O35="",O34="",O33="",O32="",O30="",O29="",O28="",O27="",O26="",O25="",O24="",O23="",O22="",O21="",O20="",O19="",O18="",O17="",O16="",O15="",O14="",O12="",O11=""),"","CHECK INPUT")</f>
        <v>CHECK INPUT</v>
      </c>
      <c r="N42" s="1861" t="str">
        <f>IF(AND(M31="",M12=""),"(need input of DJ and/or SRFz)","")</f>
        <v>(need input of DJ and/or SRFz)</v>
      </c>
      <c r="O42" s="1669"/>
      <c r="P42" s="1670"/>
      <c r="T42" s="620" t="s">
        <v>438</v>
      </c>
      <c r="U42" s="12"/>
      <c r="V42" s="27"/>
      <c r="X42" s="24"/>
      <c r="Y42" s="28"/>
      <c r="Z42" s="8"/>
      <c r="AF42" s="426"/>
      <c r="AG42" s="6"/>
      <c r="AH42" s="8"/>
      <c r="AI42" s="8"/>
    </row>
    <row r="43" spans="1:35" ht="12.75" customHeight="1">
      <c r="A43" s="1956"/>
      <c r="B43" s="1957"/>
      <c r="C43" s="1958"/>
      <c r="D43" s="2049" t="s">
        <v>113</v>
      </c>
      <c r="E43" s="2050"/>
      <c r="F43" s="2051"/>
      <c r="G43" s="2056" t="s">
        <v>410</v>
      </c>
      <c r="H43" s="2056"/>
      <c r="I43" s="2057"/>
      <c r="J43" s="636"/>
      <c r="K43" s="518"/>
      <c r="L43" s="1166" t="s">
        <v>604</v>
      </c>
      <c r="M43" s="1167"/>
      <c r="N43" s="1168"/>
      <c r="O43" s="1717" t="s">
        <v>1013</v>
      </c>
      <c r="T43" s="621" t="s">
        <v>487</v>
      </c>
      <c r="U43" s="8"/>
      <c r="V43" s="27"/>
      <c r="Y43" s="32"/>
      <c r="AF43" s="427"/>
      <c r="AG43" s="425"/>
      <c r="AH43" s="8"/>
      <c r="AI43" s="8"/>
    </row>
    <row r="44" spans="1:35" ht="12" customHeight="1">
      <c r="A44" s="1937" t="str">
        <f>IF(M$12="","","Jointed rock →")</f>
        <v/>
      </c>
      <c r="B44" s="1938"/>
      <c r="C44" s="1939"/>
      <c r="D44" s="1642" t="str">
        <f>IF(OR(D47&lt;&gt;"",A44=""),"","RMR =")</f>
        <v/>
      </c>
      <c r="E44" s="718" t="str">
        <f>IF(D47&lt;&gt;"","",M82)</f>
        <v/>
      </c>
      <c r="F44" s="611" t="str">
        <f>IF(D47&lt;&gt;"","",N82)</f>
        <v/>
      </c>
      <c r="G44" s="596" t="str">
        <f>IF(H44="","","Q =")</f>
        <v/>
      </c>
      <c r="H44" s="716" t="str">
        <f>E83</f>
        <v/>
      </c>
      <c r="I44" s="610" t="str">
        <f>G83</f>
        <v/>
      </c>
      <c r="J44" s="641" t="str">
        <f>IF(K44="","","Gc =")</f>
        <v/>
      </c>
      <c r="K44" s="716" t="str">
        <f>IF(M28="e","mild burst",IF(M28="f","mod. burst",IF(M28="g","heavy burst",L112)))</f>
        <v/>
      </c>
      <c r="L44" s="717" t="str">
        <f>IF(OR(M28="e",M28="f",M28="g"),"",N112)</f>
        <v/>
      </c>
      <c r="M44" s="597" t="str">
        <f>IF(N44="","","Sr =")</f>
        <v/>
      </c>
      <c r="N44" s="1536" t="str">
        <f>L116</f>
        <v/>
      </c>
      <c r="O44" s="1716"/>
      <c r="P44" s="1191"/>
      <c r="Q44" s="732"/>
      <c r="U44" s="559"/>
      <c r="V44" s="27"/>
      <c r="Y44" s="8"/>
      <c r="AE44" s="8"/>
      <c r="AF44" s="8"/>
      <c r="AG44" s="8"/>
      <c r="AH44" s="8"/>
      <c r="AI44" s="8"/>
    </row>
    <row r="45" spans="1:35" ht="12" customHeight="1">
      <c r="A45" s="1953" t="str">
        <f>IF(M31="","","Weakness zone →")</f>
        <v/>
      </c>
      <c r="B45" s="1954"/>
      <c r="C45" s="1955"/>
      <c r="D45" s="2070" t="str">
        <f>IF(OR(O44&lt;&gt;"",M31&lt;&gt;""),"For weak zones the RMR is unclear","")</f>
        <v/>
      </c>
      <c r="E45" s="2071"/>
      <c r="F45" s="2072"/>
      <c r="G45" s="612" t="str">
        <f>IF(H45="","","Qz =")</f>
        <v/>
      </c>
      <c r="H45" s="1534" t="str">
        <f>IF(A45="","",F83)</f>
        <v/>
      </c>
      <c r="I45" s="613" t="str">
        <f>IF(A45="","",H83)</f>
        <v/>
      </c>
      <c r="J45" s="642" t="str">
        <f>IF(K45="","","Gcz =")</f>
        <v/>
      </c>
      <c r="K45" s="1534" t="str">
        <f>IF(M31&lt;&gt;"",F137*1/F134,"")</f>
        <v/>
      </c>
      <c r="L45" s="1535" t="str">
        <f>IF(K45="","",IF(K45&gt;$U$95,$V$95,IF(K45&gt;$U$96,$V$96,IF(K45&gt;$U$97,$V$97,IF(K45&gt;$U$98,$V$98,IF(K45&gt;$U$99,$V$99,$V$100))))))</f>
        <v/>
      </c>
      <c r="M45" s="615" t="str">
        <f>IF(N45="","","Sr =")</f>
        <v/>
      </c>
      <c r="N45" s="1537" t="str">
        <f>M116</f>
        <v/>
      </c>
      <c r="O45" s="1716"/>
      <c r="P45" s="1191"/>
      <c r="Q45" s="732"/>
      <c r="R45" s="2063" t="s">
        <v>1024</v>
      </c>
      <c r="S45" s="2064"/>
      <c r="T45" s="2064"/>
      <c r="U45" s="2064"/>
      <c r="V45" s="2064"/>
      <c r="W45" s="2064"/>
      <c r="X45" s="2064"/>
      <c r="Y45" s="2064"/>
      <c r="Z45" s="2064"/>
      <c r="AA45" s="2064"/>
      <c r="AB45" s="2065"/>
      <c r="AE45" s="8"/>
      <c r="AF45" s="8"/>
      <c r="AG45" s="8"/>
      <c r="AH45" s="8"/>
      <c r="AI45" s="8"/>
    </row>
    <row r="46" spans="1:35" ht="12" customHeight="1">
      <c r="A46" s="701"/>
      <c r="B46" s="649"/>
      <c r="C46" s="1665" t="str">
        <f>IF(AND(M31&lt;&gt;"",M12&lt;&gt;""),"Weakness zone* →","")</f>
        <v/>
      </c>
      <c r="D46" s="2073"/>
      <c r="E46" s="2074"/>
      <c r="F46" s="2075"/>
      <c r="G46" s="612" t="str">
        <f>IF(H46="","","Qz* =")</f>
        <v/>
      </c>
      <c r="H46" s="1532" t="str">
        <f>IF(C46="","",F84)</f>
        <v/>
      </c>
      <c r="I46" s="613" t="str">
        <f>IF(C46="","",H84)</f>
        <v/>
      </c>
      <c r="J46" s="642" t="str">
        <f>IF(K46="","","Gcz* =")</f>
        <v/>
      </c>
      <c r="K46" s="1533" t="str">
        <f>IF(C46="","",M112)</f>
        <v/>
      </c>
      <c r="L46" s="614" t="str">
        <f>IF(C46="","",O112)</f>
        <v/>
      </c>
      <c r="M46" s="615" t="str">
        <f>IF(N46="","","Sr =")</f>
        <v/>
      </c>
      <c r="N46" s="1538" t="str">
        <f>IF(C46="","",M116)</f>
        <v/>
      </c>
      <c r="O46" s="1526"/>
      <c r="P46" s="593"/>
      <c r="Q46" s="732"/>
      <c r="R46" s="2066"/>
      <c r="S46" s="2067"/>
      <c r="T46" s="2067"/>
      <c r="U46" s="2067"/>
      <c r="V46" s="2067"/>
      <c r="W46" s="2067"/>
      <c r="X46" s="2067"/>
      <c r="Y46" s="2067"/>
      <c r="Z46" s="2067"/>
      <c r="AA46" s="2067"/>
      <c r="AB46" s="2068"/>
      <c r="AC46" s="1520"/>
      <c r="AD46" s="8"/>
      <c r="AE46" s="8"/>
      <c r="AF46" s="8"/>
      <c r="AG46" s="8"/>
      <c r="AH46" s="8"/>
      <c r="AI46" s="8"/>
    </row>
    <row r="47" spans="1:35" ht="13.5" customHeight="1">
      <c r="A47" s="1921" t="str">
        <f>IF(M$12="","","Rockmass deformation modulus in jointed rock   →")</f>
        <v/>
      </c>
      <c r="B47" s="1922"/>
      <c r="C47" s="1923"/>
      <c r="D47" s="1930" t="str">
        <f>IF(OR(M28="e",M28="f",M28="g"),"Bursting is not covered by RMR",IF(OR(,M28="h",M28="i"),"Squeezing is not covered by RMR",""))</f>
        <v/>
      </c>
      <c r="E47" s="1931"/>
      <c r="F47" s="1932"/>
      <c r="G47" s="1553"/>
      <c r="H47" s="1553"/>
      <c r="I47" s="1554"/>
      <c r="J47" s="2052" t="str">
        <f>IF(M$12="","","In Jointed rock, RMi =")</f>
        <v/>
      </c>
      <c r="K47" s="2053"/>
      <c r="L47" s="1767" t="str">
        <f>M109</f>
        <v/>
      </c>
      <c r="M47" s="1761" t="str">
        <f>IF(M$31="","",IF(K46="","In zone, RMi =","in zone, RMi* ="))</f>
        <v/>
      </c>
      <c r="N47" s="1179" t="str">
        <f>F139</f>
        <v/>
      </c>
      <c r="O47" s="1422" t="s">
        <v>1012</v>
      </c>
      <c r="Q47" s="33"/>
      <c r="AC47" s="1520"/>
      <c r="AD47" s="8"/>
    </row>
    <row r="48" spans="1:35" ht="15" customHeight="1" thickBot="1">
      <c r="A48" s="1924"/>
      <c r="B48" s="1925"/>
      <c r="C48" s="1926"/>
      <c r="D48" s="1762" t="str">
        <f>IF(E48="","","Em ≈")</f>
        <v/>
      </c>
      <c r="E48" s="1763" t="str">
        <f>IF(E44="","",IF(M85&lt;&gt;"",M85,M86))</f>
        <v/>
      </c>
      <c r="F48" s="1764" t="str">
        <f>IF(E48="","",IF(M85&lt;&gt;"","( for RMR &gt;50 )","( for RMR &lt;50 )"))</f>
        <v/>
      </c>
      <c r="G48" s="1765" t="str">
        <f>IF(H48="","","Em ≈")</f>
        <v/>
      </c>
      <c r="H48" s="1766" t="str">
        <f>E95</f>
        <v/>
      </c>
      <c r="I48" s="1788" t="str">
        <f>IF(H48="","","(for Q &gt; 1 )")</f>
        <v/>
      </c>
      <c r="J48" s="2054" t="str">
        <f>IF(M$12="","","In Jointed rock, Em ≈")</f>
        <v/>
      </c>
      <c r="K48" s="2055"/>
      <c r="L48" s="1857" t="str">
        <f>M134</f>
        <v/>
      </c>
      <c r="M48" s="2058"/>
      <c r="N48" s="2059"/>
      <c r="O48" s="1251"/>
      <c r="P48" s="640"/>
      <c r="Q48" s="33"/>
      <c r="R48" s="1252"/>
      <c r="S48" s="1340"/>
      <c r="T48" s="1192"/>
      <c r="U48" s="1340"/>
      <c r="V48" s="593"/>
      <c r="W48" s="1340"/>
      <c r="X48" s="1340"/>
      <c r="Y48" s="1340"/>
      <c r="Z48" s="1340"/>
      <c r="AA48" s="1340"/>
    </row>
    <row r="49" spans="1:32" ht="10.5" customHeight="1" thickTop="1">
      <c r="A49" s="1959" t="s">
        <v>991</v>
      </c>
      <c r="B49" s="1960"/>
      <c r="C49" s="1660"/>
      <c r="D49" s="1661"/>
      <c r="E49" s="1662"/>
      <c r="F49" s="1663"/>
      <c r="G49" s="1663"/>
      <c r="H49" s="1662"/>
      <c r="I49" s="1850"/>
      <c r="J49" s="1856"/>
      <c r="K49" s="2069" t="s">
        <v>988</v>
      </c>
      <c r="L49" s="2061"/>
      <c r="M49" s="2060" t="s">
        <v>989</v>
      </c>
      <c r="N49" s="2061"/>
      <c r="O49" s="1251"/>
      <c r="P49" s="640"/>
      <c r="Q49" s="33"/>
      <c r="R49" s="1252"/>
      <c r="S49" s="1340"/>
      <c r="T49" s="1192"/>
      <c r="U49" s="1340"/>
      <c r="V49" s="593"/>
      <c r="W49" s="1340"/>
      <c r="X49" s="1340"/>
      <c r="Y49" s="1340"/>
      <c r="Z49" s="1340"/>
      <c r="AA49" s="1340"/>
    </row>
    <row r="50" spans="1:32" ht="14.1" customHeight="1">
      <c r="A50" s="1961"/>
      <c r="B50" s="1962"/>
      <c r="C50" s="1655" t="s">
        <v>995</v>
      </c>
      <c r="D50" s="1472"/>
      <c r="E50" s="1595"/>
      <c r="F50" s="413"/>
      <c r="G50" s="413"/>
      <c r="H50" s="413"/>
      <c r="I50" s="1851"/>
      <c r="J50" s="1659" t="s">
        <v>1006</v>
      </c>
      <c r="K50" s="2076" t="str">
        <f>IF(M12="","",IF(M29="","",(ATAN((4*F121*((COS((PI()/6)+(1/3)*ASIN((F121)^-1.5)))^2)-1)^-0.5))*180/PI()))</f>
        <v/>
      </c>
      <c r="L50" s="2077"/>
      <c r="M50" s="1801" t="str">
        <f>IF(M12="","",IF(M29="","",(ATAN((4*H121*((COS((PI()/6)+(1/3)*ASIN((H121)^-1.5)))^2)-1)^-0.5))*180/PI()))</f>
        <v/>
      </c>
      <c r="N50" s="1664"/>
      <c r="O50" s="1251"/>
      <c r="P50" s="640"/>
      <c r="Q50" s="33"/>
      <c r="R50" s="1252"/>
      <c r="S50" s="1340"/>
      <c r="T50" s="1192"/>
      <c r="U50" s="1340"/>
      <c r="V50" s="593"/>
      <c r="W50" s="1340"/>
      <c r="X50" s="1340"/>
      <c r="Y50" s="1340"/>
      <c r="Z50" s="1340"/>
      <c r="AA50" s="1340"/>
    </row>
    <row r="51" spans="1:32" ht="14.1" customHeight="1">
      <c r="A51" s="1961"/>
      <c r="B51" s="1962"/>
      <c r="C51" s="1653" t="s">
        <v>996</v>
      </c>
      <c r="D51" s="1472"/>
      <c r="E51" s="1643"/>
      <c r="F51" s="591"/>
      <c r="G51" s="591"/>
      <c r="H51" s="591"/>
      <c r="I51" s="1852"/>
      <c r="J51" s="1551" t="s">
        <v>1007</v>
      </c>
      <c r="K51" s="2078" t="str">
        <f>IF(K50="","",((1/TAN(K50*PI()/180))-COS(K50*PI()/180))*F119*F100/8)</f>
        <v/>
      </c>
      <c r="L51" s="2079"/>
      <c r="M51" s="1802" t="str">
        <f>IF(M50="","",((1/TAN(K50*PI()/180))-COS(K50*PI()/180))*F120*F100/8)</f>
        <v/>
      </c>
      <c r="N51" s="1657"/>
      <c r="O51" s="1251"/>
      <c r="P51" s="640"/>
      <c r="Q51" s="33"/>
      <c r="R51" s="1791"/>
      <c r="T51" s="1192"/>
      <c r="U51" s="1340"/>
      <c r="V51" s="593"/>
      <c r="W51" s="1340"/>
      <c r="X51" s="1340"/>
      <c r="Y51" s="1340"/>
      <c r="Z51" s="1340"/>
      <c r="AA51" s="1340"/>
    </row>
    <row r="52" spans="1:32" ht="14.1" customHeight="1">
      <c r="A52" s="1961"/>
      <c r="B52" s="1962"/>
      <c r="C52" s="1654" t="s">
        <v>997</v>
      </c>
      <c r="D52" s="647"/>
      <c r="E52" s="1644"/>
      <c r="F52" s="616"/>
      <c r="G52" s="616"/>
      <c r="H52" s="616"/>
      <c r="I52" s="1853"/>
      <c r="J52" s="1552" t="s">
        <v>834</v>
      </c>
      <c r="K52" s="1900" t="str">
        <f>IF(K50="","",IF(F121="","",K51-N30*TAN(K50*PI()/180)))</f>
        <v/>
      </c>
      <c r="L52" s="1901"/>
      <c r="M52" s="1803" t="str">
        <f>IF(M50="","",M51-N30*TAN(M50*PI()/180))</f>
        <v/>
      </c>
      <c r="N52" s="1658"/>
      <c r="O52" s="1251"/>
      <c r="P52" s="640"/>
      <c r="Q52" s="33"/>
      <c r="R52" s="1252"/>
      <c r="S52" s="1340"/>
      <c r="T52" s="1192"/>
      <c r="U52" s="1340"/>
      <c r="V52" s="593"/>
      <c r="W52" s="1340"/>
      <c r="X52" s="1340"/>
      <c r="Y52" s="1340"/>
      <c r="Z52" s="1340"/>
      <c r="AA52" s="1340"/>
    </row>
    <row r="53" spans="1:32" ht="14.1" customHeight="1">
      <c r="A53" s="1961"/>
      <c r="B53" s="1962"/>
      <c r="C53" s="1809" t="s">
        <v>1018</v>
      </c>
      <c r="D53" s="1810"/>
      <c r="E53" s="1811"/>
      <c r="F53" s="1812"/>
      <c r="G53" s="1812"/>
      <c r="H53" s="1812"/>
      <c r="I53" s="1854"/>
      <c r="J53" s="1813" t="s">
        <v>1019</v>
      </c>
      <c r="K53" s="1902" t="str">
        <f xml:space="preserve"> IF(M31="","",IF(M40="","",(ATAN((4*M131*((COS((PI()/6)+(1/3)*ASIN((M131)^-1.5)))^2)-1)^-0.5))*180/PI()))</f>
        <v/>
      </c>
      <c r="L53" s="1903"/>
      <c r="M53" s="1753" t="str">
        <f xml:space="preserve"> IF(M31="","",IF(M40="","",(ATAN((4*O131*((COS((PI()/6)+(1/3)*ASIN((O131)^-1.5)))^2)-1)^-0.5))*180/PI()))</f>
        <v/>
      </c>
      <c r="N53" s="1760"/>
      <c r="O53" s="1829"/>
      <c r="P53" s="2062" t="str">
        <f>IF(OR(K53&lt;&gt;"",M53&lt;&gt;""),"Uncertainty about shear strength results for weakness zone","")</f>
        <v/>
      </c>
      <c r="Q53" s="2062"/>
      <c r="R53" s="1759"/>
      <c r="S53" s="1522"/>
      <c r="T53" s="1522"/>
      <c r="V53" s="2080"/>
      <c r="W53" s="2080"/>
      <c r="X53" s="2080"/>
      <c r="Y53" s="2080"/>
      <c r="Z53" s="2080"/>
      <c r="AA53" s="2080"/>
      <c r="AB53" s="2080"/>
    </row>
    <row r="54" spans="1:32" ht="14.1" customHeight="1">
      <c r="A54" s="1961"/>
      <c r="B54" s="1962"/>
      <c r="C54" s="1814" t="s">
        <v>1020</v>
      </c>
      <c r="D54" s="1810"/>
      <c r="E54" s="1811"/>
      <c r="F54" s="1812"/>
      <c r="G54" s="1812"/>
      <c r="H54" s="1812"/>
      <c r="I54" s="1854"/>
      <c r="J54" s="1813" t="s">
        <v>1021</v>
      </c>
      <c r="K54" s="1904" t="str">
        <f>IF(K53="","",((1/TAN(K53*PI()/180))-COS(K53*PI()/180))*M129*F124/8)</f>
        <v/>
      </c>
      <c r="L54" s="1905"/>
      <c r="M54" s="1755" t="str">
        <f>IF(M53="","",((1/TAN(K53*PI()/180))-COS(K53*PI()/180))*M130*F124/8)</f>
        <v/>
      </c>
      <c r="N54" s="1754"/>
      <c r="O54" s="1830" t="str">
        <f>IF(P53="","","←   ←")</f>
        <v/>
      </c>
      <c r="P54" s="2062"/>
      <c r="Q54" s="2062"/>
      <c r="R54" s="1759"/>
      <c r="S54" s="1522"/>
      <c r="T54" s="1522"/>
      <c r="V54" s="2080"/>
      <c r="W54" s="2080"/>
      <c r="X54" s="2080"/>
      <c r="Y54" s="2080"/>
      <c r="Z54" s="2080"/>
      <c r="AA54" s="2080"/>
      <c r="AB54" s="2080"/>
    </row>
    <row r="55" spans="1:32" ht="14.1" customHeight="1">
      <c r="A55" s="1963"/>
      <c r="B55" s="1964"/>
      <c r="C55" s="1815" t="s">
        <v>1022</v>
      </c>
      <c r="D55" s="1816"/>
      <c r="E55" s="1817"/>
      <c r="F55" s="1818"/>
      <c r="G55" s="1818"/>
      <c r="H55" s="1818"/>
      <c r="I55" s="1855"/>
      <c r="J55" s="1819" t="s">
        <v>1023</v>
      </c>
      <c r="K55" s="1906" t="str">
        <f>IF(K53="","",K54-N41*TAN(K53*PI()/180))</f>
        <v/>
      </c>
      <c r="L55" s="1907"/>
      <c r="M55" s="1756" t="str">
        <f>IF(M53="","",M54-N41*TAN(M53*PI()/180))</f>
        <v/>
      </c>
      <c r="N55" s="1757"/>
      <c r="O55" s="1829"/>
      <c r="P55" s="2062"/>
      <c r="Q55" s="2062"/>
      <c r="R55" s="1759"/>
      <c r="S55" s="1522"/>
      <c r="T55" s="1522"/>
      <c r="V55" s="2080"/>
      <c r="W55" s="2080"/>
      <c r="X55" s="2080"/>
      <c r="Y55" s="2080"/>
      <c r="Z55" s="2080"/>
      <c r="AA55" s="2080"/>
      <c r="AB55" s="2080"/>
    </row>
    <row r="56" spans="1:32" ht="9.75" customHeight="1">
      <c r="A56" s="1645"/>
      <c r="B56" s="16"/>
      <c r="C56" s="1646"/>
      <c r="D56" s="1646"/>
      <c r="E56" s="1647"/>
      <c r="F56" s="16"/>
      <c r="G56" s="16"/>
      <c r="H56" s="16"/>
      <c r="I56" s="1648"/>
      <c r="J56" s="1649"/>
      <c r="L56" s="1656" t="str">
        <f>IF(AND(M12&lt;&gt;"",M31&lt;&gt;""),"weakness zone*, Qz*, Gcz*, RMi*  = means that assumed arching effect from adjacent rockmasses on the zone stability is included in the estimate","")</f>
        <v/>
      </c>
      <c r="M56" s="8"/>
      <c r="O56" s="33"/>
      <c r="P56" s="1521"/>
      <c r="Q56" s="1522"/>
      <c r="R56" s="1522"/>
      <c r="S56" s="1522"/>
      <c r="T56" s="1522"/>
      <c r="V56" s="2080"/>
      <c r="W56" s="2080"/>
      <c r="X56" s="2080"/>
      <c r="Y56" s="2080"/>
      <c r="Z56" s="2080"/>
      <c r="AA56" s="2080"/>
      <c r="AB56" s="2080"/>
    </row>
    <row r="57" spans="1:32" ht="9.75" customHeight="1">
      <c r="A57" s="1650"/>
      <c r="B57" s="8"/>
      <c r="C57" s="411"/>
      <c r="D57" s="411"/>
      <c r="E57" s="1509"/>
      <c r="F57" s="8"/>
      <c r="G57" s="8"/>
      <c r="H57" s="8"/>
      <c r="I57" s="1651"/>
      <c r="J57" s="1652"/>
      <c r="L57" s="1656"/>
      <c r="M57" s="8"/>
      <c r="O57" s="33"/>
      <c r="P57" s="1521"/>
      <c r="Q57" s="1522"/>
      <c r="R57" s="1522"/>
      <c r="S57" s="1522"/>
      <c r="T57" s="1522"/>
      <c r="V57" s="2080"/>
      <c r="W57" s="2080"/>
      <c r="X57" s="2080"/>
      <c r="Y57" s="2080"/>
      <c r="Z57" s="2080"/>
      <c r="AA57" s="2080"/>
      <c r="AB57" s="2080"/>
    </row>
    <row r="58" spans="1:32" ht="9.75" customHeight="1">
      <c r="C58" s="1164"/>
      <c r="D58" s="1164"/>
      <c r="E58" s="607"/>
      <c r="F58" s="607"/>
      <c r="G58" s="560"/>
      <c r="H58" s="8"/>
      <c r="I58" s="8"/>
      <c r="J58" s="5"/>
      <c r="K58" s="608"/>
      <c r="M58" s="8"/>
      <c r="N58" s="606"/>
      <c r="O58" s="33"/>
      <c r="P58" s="1523"/>
      <c r="Q58" s="1524"/>
      <c r="R58" s="1524"/>
      <c r="S58" s="1522"/>
      <c r="T58" s="1522"/>
      <c r="V58" s="2080"/>
      <c r="W58" s="2080"/>
      <c r="X58" s="2080"/>
      <c r="Y58" s="2080"/>
      <c r="Z58" s="2080"/>
      <c r="AA58" s="2080"/>
      <c r="AB58" s="2080"/>
    </row>
    <row r="59" spans="1:32" ht="9.75" customHeight="1">
      <c r="A59" s="647"/>
      <c r="B59" s="1164" t="s">
        <v>730</v>
      </c>
      <c r="C59" s="1165"/>
      <c r="D59" s="1165"/>
      <c r="E59" s="1133"/>
      <c r="H59" s="647"/>
      <c r="I59" s="647"/>
      <c r="J59" s="647"/>
      <c r="K59" s="647"/>
      <c r="L59" s="631"/>
      <c r="M59" s="1274"/>
      <c r="N59" s="639"/>
      <c r="O59" s="606"/>
      <c r="P59" s="1523"/>
      <c r="Q59" s="1524"/>
      <c r="R59" s="1524"/>
      <c r="S59" s="1524"/>
      <c r="T59" s="1524"/>
      <c r="V59" s="30"/>
      <c r="W59" s="30"/>
      <c r="X59" s="38"/>
      <c r="Y59" s="8"/>
    </row>
    <row r="60" spans="1:32" ht="9.75" customHeight="1">
      <c r="A60" s="636"/>
      <c r="B60" s="1134"/>
      <c r="C60" s="1134"/>
      <c r="D60" s="1134"/>
      <c r="E60" s="1135"/>
      <c r="F60" s="632" t="s">
        <v>747</v>
      </c>
      <c r="G60" s="1136">
        <v>2</v>
      </c>
      <c r="H60" s="637" t="s">
        <v>802</v>
      </c>
      <c r="I60" s="618"/>
      <c r="J60" s="618"/>
      <c r="K60" s="39"/>
      <c r="L60" s="1138" t="s">
        <v>768</v>
      </c>
      <c r="M60" s="1137">
        <v>10</v>
      </c>
      <c r="N60" s="1275" t="s">
        <v>990</v>
      </c>
      <c r="O60" s="609"/>
      <c r="P60" s="1523"/>
      <c r="Q60" s="1524"/>
      <c r="R60" s="1524"/>
      <c r="S60" s="1524"/>
      <c r="T60" s="1525"/>
      <c r="V60" s="30"/>
      <c r="W60" s="30"/>
      <c r="X60" s="422"/>
      <c r="Y60" s="8"/>
    </row>
    <row r="61" spans="1:32" ht="9.75" customHeight="1">
      <c r="A61" s="1272"/>
      <c r="B61" s="1106"/>
      <c r="C61" s="1106"/>
      <c r="D61" s="1106"/>
      <c r="E61" s="1106"/>
      <c r="F61" s="1676" t="s">
        <v>748</v>
      </c>
      <c r="G61" s="1677">
        <v>6</v>
      </c>
      <c r="H61" s="1678" t="s">
        <v>766</v>
      </c>
      <c r="I61" s="1679"/>
      <c r="J61" s="1680"/>
      <c r="K61" s="1680"/>
      <c r="L61" s="1676" t="s">
        <v>767</v>
      </c>
      <c r="M61" s="1681">
        <v>4</v>
      </c>
      <c r="N61" s="1682" t="s">
        <v>990</v>
      </c>
      <c r="O61" s="394"/>
      <c r="P61" s="394"/>
      <c r="Q61" s="1123"/>
      <c r="R61" s="8"/>
      <c r="S61" s="1124"/>
      <c r="T61" s="1125"/>
      <c r="U61" s="8"/>
      <c r="V61" s="30"/>
      <c r="W61" s="30"/>
      <c r="X61" s="8"/>
      <c r="Y61" s="8"/>
    </row>
    <row r="62" spans="1:32" ht="9.75" customHeight="1">
      <c r="A62" s="16"/>
      <c r="B62" s="1684"/>
      <c r="C62" s="1273"/>
      <c r="D62" s="1273"/>
      <c r="E62" s="1273"/>
      <c r="F62" s="1685"/>
      <c r="G62" s="1686"/>
      <c r="H62" s="1687"/>
      <c r="I62" s="1687"/>
      <c r="J62" s="1688"/>
      <c r="K62" s="1688"/>
      <c r="L62" s="1687"/>
      <c r="M62" s="1689"/>
      <c r="N62" s="1690"/>
      <c r="O62" s="1683"/>
      <c r="P62" s="33"/>
      <c r="Q62" s="1123"/>
      <c r="R62" s="8"/>
      <c r="S62" s="1124"/>
      <c r="T62" s="1125"/>
      <c r="U62" s="8"/>
      <c r="V62" s="30"/>
      <c r="W62" s="30"/>
      <c r="X62" s="8"/>
      <c r="Y62" s="8"/>
    </row>
    <row r="63" spans="1:32" ht="11.25" customHeight="1">
      <c r="A63" s="8"/>
      <c r="B63" s="8"/>
      <c r="F63" s="8"/>
      <c r="G63" s="8"/>
      <c r="H63" s="8"/>
      <c r="I63" s="8"/>
      <c r="J63" s="899"/>
      <c r="K63" s="749"/>
      <c r="Q63" s="1123"/>
      <c r="R63" s="8"/>
      <c r="S63" s="1124"/>
      <c r="T63" s="1125"/>
      <c r="U63" s="8"/>
      <c r="V63" s="30"/>
      <c r="W63" s="30"/>
      <c r="X63" s="8"/>
      <c r="Y63" s="8"/>
    </row>
    <row r="64" spans="1:32" ht="18" customHeight="1">
      <c r="A64" s="1126"/>
      <c r="B64" s="1972" t="s">
        <v>331</v>
      </c>
      <c r="C64" s="1972"/>
      <c r="D64" s="1972"/>
      <c r="E64" s="1972"/>
      <c r="F64" s="1972"/>
      <c r="G64" s="1972"/>
      <c r="H64" s="1972"/>
      <c r="I64" s="1972"/>
      <c r="J64" s="1972"/>
      <c r="K64" s="1972"/>
      <c r="L64" s="1972"/>
      <c r="M64" s="1972"/>
      <c r="N64" s="1972"/>
      <c r="O64" s="1972"/>
      <c r="P64" s="1127"/>
      <c r="Q64" s="1128"/>
      <c r="R64" s="453"/>
      <c r="S64" s="453"/>
      <c r="T64" s="454"/>
      <c r="U64" s="454"/>
      <c r="V64" s="454"/>
      <c r="W64" s="454"/>
      <c r="X64" s="454"/>
      <c r="Y64" s="454"/>
      <c r="Z64" s="42"/>
      <c r="AA64" s="43"/>
      <c r="AB64" s="43"/>
      <c r="AC64" s="43"/>
      <c r="AD64" s="43"/>
      <c r="AE64" s="43"/>
      <c r="AF64" s="43"/>
    </row>
    <row r="65" spans="1:32" ht="15">
      <c r="A65" s="737"/>
      <c r="B65" s="738"/>
      <c r="C65" s="1916" t="s">
        <v>410</v>
      </c>
      <c r="D65" s="1916"/>
      <c r="E65" s="1916"/>
      <c r="F65" s="1916"/>
      <c r="G65" s="1916"/>
      <c r="H65" s="1916"/>
      <c r="I65" s="739"/>
      <c r="J65" s="2009" t="s">
        <v>113</v>
      </c>
      <c r="K65" s="2009"/>
      <c r="L65" s="2009"/>
      <c r="M65" s="2009"/>
      <c r="N65" s="2009"/>
      <c r="O65" s="2009"/>
      <c r="P65" s="1335"/>
      <c r="Q65" s="50"/>
      <c r="R65" s="33"/>
      <c r="S65" s="33"/>
      <c r="T65" s="8"/>
      <c r="U65" s="8"/>
      <c r="V65" s="8"/>
      <c r="W65" s="8"/>
      <c r="X65" s="8"/>
      <c r="Y65" s="8"/>
      <c r="AB65" s="43"/>
      <c r="AC65" s="43"/>
      <c r="AD65" s="43"/>
      <c r="AE65" s="43"/>
      <c r="AF65" s="43"/>
    </row>
    <row r="66" spans="1:32" ht="13.5" customHeight="1">
      <c r="A66" s="1917" t="s">
        <v>114</v>
      </c>
      <c r="B66" s="1918"/>
      <c r="C66" s="1918"/>
      <c r="D66" s="1336"/>
      <c r="E66" s="1908" t="s">
        <v>503</v>
      </c>
      <c r="F66" s="1914" t="s">
        <v>531</v>
      </c>
      <c r="G66" s="1970" t="s">
        <v>250</v>
      </c>
      <c r="H66" s="1971"/>
      <c r="I66" s="739"/>
      <c r="J66" s="1970" t="s">
        <v>114</v>
      </c>
      <c r="K66" s="2010"/>
      <c r="L66" s="2010"/>
      <c r="M66" s="2007" t="s">
        <v>116</v>
      </c>
      <c r="N66" s="2010" t="s">
        <v>250</v>
      </c>
      <c r="O66" s="2010"/>
      <c r="P66" s="1336"/>
      <c r="Q66" s="739"/>
      <c r="R66" s="2005" t="s">
        <v>328</v>
      </c>
      <c r="S66" s="2005"/>
      <c r="T66" s="2005"/>
      <c r="U66" s="2005"/>
      <c r="V66" s="2005"/>
      <c r="W66" s="1171"/>
      <c r="X66" s="496"/>
      <c r="Y66" s="630"/>
      <c r="Z66" s="42"/>
      <c r="AA66" s="43"/>
      <c r="AB66" s="43"/>
      <c r="AC66" s="43"/>
      <c r="AD66" s="43"/>
      <c r="AE66" s="43"/>
      <c r="AF66" s="43"/>
    </row>
    <row r="67" spans="1:32" ht="12" customHeight="1">
      <c r="A67" s="1919"/>
      <c r="B67" s="1920"/>
      <c r="C67" s="1920"/>
      <c r="D67" s="740"/>
      <c r="E67" s="1909"/>
      <c r="F67" s="1915"/>
      <c r="G67" s="741" t="s">
        <v>1008</v>
      </c>
      <c r="H67" s="742" t="s">
        <v>1009</v>
      </c>
      <c r="I67" s="739"/>
      <c r="J67" s="1919"/>
      <c r="K67" s="1920"/>
      <c r="L67" s="1920"/>
      <c r="M67" s="2008"/>
      <c r="N67" s="1920"/>
      <c r="O67" s="1920"/>
      <c r="P67" s="740"/>
      <c r="Q67" s="739"/>
      <c r="R67" s="2006" t="s">
        <v>765</v>
      </c>
      <c r="S67" s="2006"/>
      <c r="T67" s="2006"/>
      <c r="U67" s="2006"/>
      <c r="V67" s="2006"/>
      <c r="W67" s="2006"/>
      <c r="X67" s="2006"/>
      <c r="Z67" s="44"/>
      <c r="AA67" s="43"/>
      <c r="AB67" s="43"/>
      <c r="AC67" s="43"/>
      <c r="AD67" s="43"/>
      <c r="AE67" s="43"/>
      <c r="AF67" s="43"/>
    </row>
    <row r="68" spans="1:32" ht="15" customHeight="1">
      <c r="A68" s="1884" t="s">
        <v>111</v>
      </c>
      <c r="B68" s="1885"/>
      <c r="C68" s="743"/>
      <c r="D68" s="744" t="str">
        <f>IF(E68="","","RQD =")</f>
        <v/>
      </c>
      <c r="E68" s="745" t="str">
        <f>IF(M12="","",IF(M12="a",'Parameter tables'!J29,IF(M12="b",'Parameter tables'!J30,IF(M12="c",'Parameter tables'!J31,IF(M12="d",'Parameter tables'!J32,IF(M12="e",'Parameter tables'!J33,IF(M12="f",'Parameter tables'!J34,"?")))))))</f>
        <v/>
      </c>
      <c r="F68" s="746"/>
      <c r="G68" s="747" t="str">
        <f>IF(M16&lt;&gt;"",110-2.5*M16,IF(M15&lt;&gt;"",110-2.5*(N15/F110)^-0.333,""))</f>
        <v/>
      </c>
      <c r="H68" s="748"/>
      <c r="I68" s="749"/>
      <c r="J68" s="2041" t="s">
        <v>494</v>
      </c>
      <c r="K68" s="2042"/>
      <c r="L68" s="851" t="s">
        <v>14</v>
      </c>
      <c r="M68" s="799">
        <f>IF(M11="",'Parameter tables'!H11,IF(M11="a",'Parameter tables'!H6,IF(M11="b",'Parameter tables'!H7,IF(M11="c",'Parameter tables'!H8,IF(M11="d",'Parameter tables'!H9,IF(M11="e",'Parameter tables'!H10,IF(M11="f",'Parameter tables'!H11,IF(M11="g",'Parameter tables'!H12,IF(M11="h",'Parameter tables'!H13,IF(M11="i",'Parameter tables'!H14,"?"))))))))))</f>
        <v>7</v>
      </c>
      <c r="N68" s="852" t="s">
        <v>326</v>
      </c>
      <c r="O68" s="853"/>
      <c r="P68" s="854"/>
      <c r="Q68" s="739"/>
      <c r="R68" s="907" t="s">
        <v>166</v>
      </c>
      <c r="S68" s="907"/>
      <c r="T68" s="907"/>
      <c r="U68" s="418"/>
      <c r="V68" s="418"/>
      <c r="W68" s="418"/>
      <c r="X68" s="50"/>
      <c r="Y68" s="42"/>
      <c r="Z68" s="44"/>
      <c r="AA68" s="43"/>
      <c r="AB68" s="43"/>
      <c r="AC68" s="43"/>
      <c r="AD68" s="43"/>
      <c r="AE68" s="43"/>
      <c r="AF68" s="43"/>
    </row>
    <row r="69" spans="1:32">
      <c r="A69" s="1886"/>
      <c r="B69" s="1887"/>
      <c r="C69" s="1317"/>
      <c r="D69" s="750" t="s">
        <v>674</v>
      </c>
      <c r="E69" s="751" t="str">
        <f>IF(M12="","",IF(M14&lt;&gt;"",M14,IF(M16&lt;&gt;"",G69,IF(M15&lt;&gt;"",G69,E68))))</f>
        <v/>
      </c>
      <c r="F69" s="752" t="str">
        <f>IF(H69="","",IF(H69&gt;100,100,IF(H69&lt;10,10,H69)))</f>
        <v/>
      </c>
      <c r="G69" s="753" t="str">
        <f>IF(G68="","",IF(G68&gt;100,100,IF(G68&lt;10,10,G68)))</f>
        <v/>
      </c>
      <c r="H69" s="754" t="str">
        <f>IF(M31="","",IF(110-2.5*(H125/'Parameter tables'!M64)^-0.333&lt;0,0))</f>
        <v/>
      </c>
      <c r="I69" s="755"/>
      <c r="J69" s="855" t="s">
        <v>111</v>
      </c>
      <c r="K69" s="1864" t="s">
        <v>405</v>
      </c>
      <c r="L69" s="1865"/>
      <c r="M69" s="856" t="str">
        <f>IF(M12="","",IF(E69&lt;='Parameter tables'!F29,'Parameter tables'!H29,IF(E69&lt;'Parameter tables'!F30,'Parameter tables'!H30,IF(E69&lt;'Parameter tables'!F31,'Parameter tables'!H31,IF(E69&lt;'Parameter tables'!F32,'Parameter tables'!H32,IF(E69&lt;'Parameter tables'!F33,'Parameter tables'!H33,IF(E69&lt;='Parameter tables'!F34,'Parameter tables'!H34,"?")))))))</f>
        <v/>
      </c>
      <c r="N69" s="857"/>
      <c r="O69" s="857" t="str">
        <f>IF(N69="","","RQD input")</f>
        <v/>
      </c>
      <c r="P69" s="858"/>
      <c r="Q69" s="739"/>
      <c r="R69" s="1083" t="s">
        <v>117</v>
      </c>
      <c r="S69" s="1084">
        <v>100</v>
      </c>
      <c r="T69" s="1085" t="s">
        <v>135</v>
      </c>
      <c r="U69" s="1352">
        <v>80</v>
      </c>
      <c r="V69" s="1353" t="s">
        <v>417</v>
      </c>
      <c r="W69" s="1354"/>
      <c r="X69" s="1355"/>
      <c r="Y69" s="1356"/>
      <c r="Z69" s="44"/>
      <c r="AA69" s="43"/>
      <c r="AB69" s="43"/>
      <c r="AC69" s="43"/>
      <c r="AD69" s="43"/>
      <c r="AE69" s="43"/>
      <c r="AF69" s="43"/>
    </row>
    <row r="70" spans="1:32" ht="14.45" customHeight="1">
      <c r="A70" s="1911" t="s">
        <v>12</v>
      </c>
      <c r="B70" s="1912"/>
      <c r="C70" s="1949"/>
      <c r="D70" s="1965" t="s">
        <v>43</v>
      </c>
      <c r="E70" s="756">
        <f>IF(M18&lt;&gt;"","",IF(F112&gt;'Parameter tables'!O69,'Parameter tables'!J69,IF(F112&gt;'Parameter tables'!O70,'Parameter tables'!J70,IF(F112&gt;'Parameter tables'!O71,'Parameter tables'!J71,IF(F112&gt;'Parameter tables'!O72,'Parameter tables'!J72,IF(F112&gt;'Parameter tables'!O73,'Parameter tables'!J73,IF(F112&gt;'Parameter tables'!O74,'Parameter tables'!J74,IF(F112&gt;'Parameter tables'!O75,'Parameter tables'!J75,15))))))))</f>
        <v>0.75</v>
      </c>
      <c r="F70" s="757"/>
      <c r="G70" s="758" t="str">
        <f>IF(M12="","",IF(M18&lt;&gt;"","",IF(F112&gt;'Parameter tables'!O69,'Parameter tables'!A69,IF(F112&gt;'Parameter tables'!O70,'Parameter tables'!A70,IF(F112&gt;'Parameter tables'!O71,'Parameter tables'!A71,IF(F112&gt;'Parameter tables'!O72,'Parameter tables'!A72,IF(F112&gt;'Parameter tables'!O73,'Parameter tables'!A73,IF(F112&gt;'Parameter tables'!O74,'Parameter tables'!A74,IF(F112&gt;'Parameter tables'!O75,'Parameter tables'!A75,'Parameter tables'!A76)))))))))</f>
        <v/>
      </c>
      <c r="H70" s="759" t="str">
        <f>IF(E70="","","← from Vb")</f>
        <v>← from Vb</v>
      </c>
      <c r="I70" s="760" t="str">
        <f>IF(M18="","",IF(OR(M18="a",M18="b",M18="c",M18="d"),"",IF(M18="e",'Parameter tables'!B73,IF(M18="f",'Parameter tables'!B74,IF(M18="g",'Parameter tables'!B75,IF(M18="h",'Parameter tables'!B76,IF(M18="i",'Parameter tables'!B77,9)))))))</f>
        <v/>
      </c>
      <c r="J70" s="2081" t="s">
        <v>251</v>
      </c>
      <c r="K70" s="859" t="str">
        <f>IF(L70="","","Spacing, Sa =")</f>
        <v/>
      </c>
      <c r="L70" s="1141" t="str">
        <f>IF(M12="","",F113)</f>
        <v/>
      </c>
      <c r="M70" s="746" t="s">
        <v>77</v>
      </c>
      <c r="N70" s="1139" t="str">
        <f>IF(M17&lt;&gt;"","",IF(F112&gt;'Parameter tables'!F55,'Parameter tables'!B54,IF(F112&gt;'Parameter tables'!F56,'Parameter tables'!B55,IF(F112&gt;'Parameter tables'!F57,'Parameter tables'!B56,IF(F112&gt;'Parameter tables'!B57,'Parameter tables'!B57,IF(F112&lt;'Parameter tables'!F58,'Parameter tables'!B58,"?"))))))</f>
        <v>Very large spacing</v>
      </c>
      <c r="O70" s="1892" t="str">
        <f>IF(L70="","","(from block diameter)")</f>
        <v/>
      </c>
      <c r="P70" s="1893"/>
      <c r="Q70" s="776"/>
      <c r="R70" s="1086" t="s">
        <v>117</v>
      </c>
      <c r="S70" s="1087">
        <f>U69</f>
        <v>80</v>
      </c>
      <c r="T70" s="1088" t="s">
        <v>135</v>
      </c>
      <c r="U70" s="1357">
        <v>60</v>
      </c>
      <c r="V70" s="1358" t="s">
        <v>418</v>
      </c>
      <c r="W70" s="1359"/>
      <c r="X70" s="1360"/>
      <c r="Y70" s="1361"/>
      <c r="Z70" s="44"/>
      <c r="AA70" s="43"/>
      <c r="AB70" s="43"/>
      <c r="AC70" s="43"/>
      <c r="AD70" s="43"/>
      <c r="AE70" s="43"/>
      <c r="AF70" s="43"/>
    </row>
    <row r="71" spans="1:32">
      <c r="A71" s="1911"/>
      <c r="B71" s="1912"/>
      <c r="C71" s="1949"/>
      <c r="D71" s="1966"/>
      <c r="E71" s="745" t="str">
        <f>IF(M18="","",IF(M18="a",'Parameter tables'!J69,IF(M18="b",'Parameter tables'!J70,IF(M18="c",'Parameter tables'!J71,IF(M18="d",'Parameter tables'!J72,IF(M18="e",'Parameter tables'!J73,IF(M18="f",'Parameter tables'!J74,IF(M18="g",'Parameter tables'!J75,IF(M18="h",'Parameter tables'!J76,IF(M18="i",'Parameter tables'!J77,""))))))))))</f>
        <v/>
      </c>
      <c r="F71" s="757"/>
      <c r="G71" s="761" t="str">
        <f>IF(M18="","",IF(M18="a",'Parameter tables'!A69,IF(M18="b",'Parameter tables'!A70,IF(M18="c",'Parameter tables'!A71,IF(M18="d",'Parameter tables'!A72,IF(M18="e",'Parameter tables'!A73,IF(M18="f",'Parameter tables'!A74,IF(M18="g",'Parameter tables'!A75,IF(M18="h",'Parameter tables'!A76,IF(M18="i",'Parameter tables'!A77,""))))))))))</f>
        <v/>
      </c>
      <c r="H71" s="762" t="str">
        <f>IF(E71="","","← from Jn")</f>
        <v/>
      </c>
      <c r="I71" s="763"/>
      <c r="J71" s="2082"/>
      <c r="K71" s="1339" t="str">
        <f>IF(L71="","","Sa =")</f>
        <v/>
      </c>
      <c r="L71" s="860" t="str">
        <f>IF(M17="","",IF(M17="a",'Parameter tables'!C54,IF(M17="b",'Parameter tables'!C55,IF(M17="c",'Parameter tables'!C56,IF(M17="d",'Parameter tables'!C57,IF(M17="e",'Parameter tables'!C58,"?"))))))</f>
        <v/>
      </c>
      <c r="M71" s="773" t="s">
        <v>56</v>
      </c>
      <c r="N71" s="1973"/>
      <c r="O71" s="1974"/>
      <c r="P71" s="861"/>
      <c r="Q71" s="739"/>
      <c r="R71" s="1086" t="s">
        <v>117</v>
      </c>
      <c r="S71" s="1087">
        <f>U70</f>
        <v>60</v>
      </c>
      <c r="T71" s="1088" t="s">
        <v>135</v>
      </c>
      <c r="U71" s="1357">
        <v>40</v>
      </c>
      <c r="V71" s="1359" t="s">
        <v>178</v>
      </c>
      <c r="W71" s="1359"/>
      <c r="X71" s="1360"/>
      <c r="Y71" s="1361"/>
      <c r="Z71" s="42"/>
      <c r="AA71" s="43"/>
      <c r="AB71" s="43"/>
      <c r="AC71" s="43"/>
      <c r="AD71" s="43"/>
      <c r="AE71" s="43"/>
      <c r="AF71" s="43"/>
    </row>
    <row r="72" spans="1:32" ht="14.25" customHeight="1">
      <c r="A72" s="1911"/>
      <c r="B72" s="1912"/>
      <c r="C72" s="1949"/>
      <c r="D72" s="764" t="s">
        <v>675</v>
      </c>
      <c r="E72" s="765">
        <f>IF(E70="",E71,E70)</f>
        <v>0.75</v>
      </c>
      <c r="F72" s="766" t="str">
        <f>IF(M31="","",IF(H125&gt;'Parameter tables'!O69,'Parameter tables'!J69,IF(H125&gt;'Parameter tables'!O70,'Parameter tables'!J70,IF(H125&gt;'Parameter tables'!O71,'Parameter tables'!J71,IF(H125&gt;'Parameter tables'!O72,'Parameter tables'!J72,IF(H125&gt;'Parameter tables'!O73,'Parameter tables'!J73,IF(H125&gt;'Parameter tables'!O74,'Parameter tables'!J74,IF(H125&gt;'Parameter tables'!O75,'Parameter tables'!J75,'Parameter tables'!J76))))))))</f>
        <v/>
      </c>
      <c r="G72" s="767" t="str">
        <f>IF(G70&lt;&gt;"",G70,IF(G71&lt;&gt;"",G71,""))</f>
        <v/>
      </c>
      <c r="H72" s="768"/>
      <c r="I72" s="760" t="str">
        <f>IF(M18&lt;&gt;"","",IF(F111&gt;'Parameter tables'!O69,'Parameter tables'!B69,IF(F111&gt;'Parameter tables'!O70,'Parameter tables'!B70,IF(F111&gt;'Parameter tables'!O71,'Parameter tables'!B71,IF(F111&gt;'Parameter tables'!O72,'Parameter tables'!B72,IF(F111&gt;'Parameter tables'!O73,'Parameter tables'!B73,IF(F111&gt;'Parameter tables'!O74,'Parameter tables'!B74,IF(F111&gt;'Parameter tables'!O75,'Parameter tables'!B75,15))))))))</f>
        <v>No or few joints</v>
      </c>
      <c r="J72" s="2083"/>
      <c r="K72" s="1323"/>
      <c r="L72" s="764" t="s">
        <v>684</v>
      </c>
      <c r="M72" s="856" t="str">
        <f>IF(M12="","",IF(L70&gt;='Parameter tables'!F55,'Parameter tables'!H54,IF(L70&gt;'Parameter tables'!F56,'Parameter tables'!H55,IF(L70&gt;'Parameter tables'!F57,'Parameter tables'!H56,IF(L70&gt;'Parameter tables'!F58,'Parameter tables'!H57,'Parameter tables'!H58)))))</f>
        <v/>
      </c>
      <c r="N72" s="862"/>
      <c r="O72" s="863"/>
      <c r="P72" s="864"/>
      <c r="Q72" s="894"/>
      <c r="R72" s="1086" t="s">
        <v>117</v>
      </c>
      <c r="S72" s="1087">
        <f>U71</f>
        <v>40</v>
      </c>
      <c r="T72" s="1088" t="s">
        <v>135</v>
      </c>
      <c r="U72" s="1357">
        <v>20</v>
      </c>
      <c r="V72" s="1358" t="s">
        <v>419</v>
      </c>
      <c r="W72" s="1359"/>
      <c r="X72" s="1360"/>
      <c r="Y72" s="1361"/>
      <c r="Z72" s="44"/>
      <c r="AA72" s="43"/>
      <c r="AB72" s="43"/>
      <c r="AC72" s="43"/>
      <c r="AD72" s="43"/>
      <c r="AE72" s="43"/>
      <c r="AF72" s="43"/>
    </row>
    <row r="73" spans="1:32" ht="15" customHeight="1">
      <c r="A73" s="1911" t="s">
        <v>507</v>
      </c>
      <c r="B73" s="1912"/>
      <c r="C73" s="1949"/>
      <c r="D73" s="769" t="s">
        <v>60</v>
      </c>
      <c r="E73" s="770">
        <f>IF(M21="",1.25,IF(M21="a",'Parameter tables'!J88,IF(M21="b",'Parameter tables'!J89,IF(M21="c",'Parameter tables'!J90,IF(M21="d",'Parameter tables'!J91,IF(M21="e",'Parameter tables'!J92,IF(M21="f",'Parameter tables'!J93,IF(M21="g",'Parameter tables'!J94,"?"))))))))</f>
        <v>1.25</v>
      </c>
      <c r="F73" s="757"/>
      <c r="G73" s="771" t="str">
        <f>IF(M12="","",IF(M21="",'Parameter tables'!A90,IF(M21="a",'Parameter tables'!A88,IF(M21="b",'Parameter tables'!A89,IF(M21="c",'Parameter tables'!A90,IF(M21="d",'Parameter tables'!A91,IF(M21="e",'Parameter tables'!A92,IF(M21="f",'Parameter tables'!A93,IF(M21="g",'Parameter tables'!A94,"?")))))))))</f>
        <v/>
      </c>
      <c r="H73" s="1312"/>
      <c r="I73" s="760" t="str">
        <f>IF(M18="","",IF(M18="a",'Parameter tables'!B69,IF(M18="b",'Parameter tables'!B70,IF(M18="c",'Parameter tables'!B71,IF(M18="d",'Parameter tables'!B72,"")))))</f>
        <v/>
      </c>
      <c r="J73" s="865"/>
      <c r="K73" s="866" t="s">
        <v>192</v>
      </c>
      <c r="L73" s="867" t="s">
        <v>78</v>
      </c>
      <c r="M73" s="757">
        <f>IF(M25="",2,IF(M25="a",'Parameter tables'!H120,IF(M25="b",'Parameter tables'!H121,IF(M25="c",'Parameter tables'!H121,IF(M25="d",'Parameter tables'!H123,IF(M25="e",'Parameter tables'!H124,IF(M25="f",'Parameter tables'!H125,IF(M25="g",'Parameter tables'!H126,"?"))))))))</f>
        <v>2</v>
      </c>
      <c r="N73" s="868"/>
      <c r="O73" s="869"/>
      <c r="P73" s="1897" t="s">
        <v>633</v>
      </c>
      <c r="Q73" s="894"/>
      <c r="R73" s="1089" t="s">
        <v>117</v>
      </c>
      <c r="S73" s="1090">
        <f>U72</f>
        <v>20</v>
      </c>
      <c r="T73" s="1091" t="s">
        <v>135</v>
      </c>
      <c r="U73" s="1104">
        <v>0</v>
      </c>
      <c r="V73" s="1362" t="s">
        <v>420</v>
      </c>
      <c r="W73" s="1363"/>
      <c r="X73" s="1364"/>
      <c r="Y73" s="1365"/>
      <c r="Z73" s="44"/>
      <c r="AA73" s="43"/>
      <c r="AB73" s="43"/>
      <c r="AC73" s="43"/>
      <c r="AD73" s="43"/>
      <c r="AE73" s="43"/>
      <c r="AF73" s="43"/>
    </row>
    <row r="74" spans="1:32" ht="12" customHeight="1">
      <c r="A74" s="1911"/>
      <c r="B74" s="1912"/>
      <c r="C74" s="1949"/>
      <c r="D74" s="772" t="s">
        <v>67</v>
      </c>
      <c r="E74" s="745">
        <f>IF(M22="",1.4,IF(M22="a",'Parameter tables'!J96,IF(M22="b",'Parameter tables'!J97,IF(M22="c",'Parameter tables'!J98,IF(M22="d",'Parameter tables'!J99,IF(M22="e",'Parameter tables'!J100,IF(M22="f",'Parameter tables'!J101,"?")))))))</f>
        <v>1.4</v>
      </c>
      <c r="F74" s="773"/>
      <c r="G74" s="774" t="str">
        <f>IF(M12="","",IF(M22="",'Parameter tables'!A99,IF(M22="a",'Parameter tables'!A96,IF(M22="b",'Parameter tables'!A97,IF(M22="c",'Parameter tables'!A98,IF(M22="d",'Parameter tables'!A99,IF(M22="e",'Parameter tables'!A100,IF(M22="f",'Parameter tables'!A101,"?"))))))))</f>
        <v/>
      </c>
      <c r="H74" s="775" t="str">
        <f>IF(M22="","(common value)","")</f>
        <v>(common value)</v>
      </c>
      <c r="I74" s="776"/>
      <c r="J74" s="870"/>
      <c r="K74" s="1338" t="s">
        <v>541</v>
      </c>
      <c r="L74" s="871" t="s">
        <v>89</v>
      </c>
      <c r="M74" s="773">
        <f>IF(M26="",'Parameter tables'!H131,IF(M26="a",'Parameter tables'!H129,IF(M26="b",'Parameter tables'!H130,IF(M26="c",'Parameter tables'!H131,IF(M26="d",'Parameter tables'!H132,IF(M26="e",'Parameter tables'!H133,"?"))))))</f>
        <v>4</v>
      </c>
      <c r="N74" s="872"/>
      <c r="O74" s="873"/>
      <c r="P74" s="1898"/>
      <c r="R74" s="1092"/>
      <c r="S74" s="1093"/>
      <c r="T74" s="1092"/>
      <c r="U74" s="52"/>
      <c r="V74" s="52"/>
      <c r="W74" s="52"/>
      <c r="X74" s="52"/>
      <c r="Y74" s="42"/>
      <c r="Z74" s="44"/>
      <c r="AA74" s="43"/>
      <c r="AB74" s="43"/>
      <c r="AC74" s="43"/>
      <c r="AD74" s="43"/>
      <c r="AE74" s="43"/>
      <c r="AF74" s="43"/>
    </row>
    <row r="75" spans="1:32" ht="13.9" customHeight="1">
      <c r="A75" s="1911"/>
      <c r="B75" s="1912"/>
      <c r="C75" s="1949"/>
      <c r="D75" s="777" t="s">
        <v>676</v>
      </c>
      <c r="E75" s="765">
        <f>IF(OR(M23="i",M23="k",M23="m",M23="o"),1,E73*E74)</f>
        <v>1.75</v>
      </c>
      <c r="F75" s="778">
        <v>1</v>
      </c>
      <c r="G75" s="779" t="str">
        <f>IF(OR(M23="i",M23="k",M23="m",M23="o"),"for filled joints, Jr = 1","")</f>
        <v/>
      </c>
      <c r="H75" s="780" t="s">
        <v>611</v>
      </c>
      <c r="I75" s="760" t="str">
        <f>IF(I72&lt;&gt;"",I72,IF(I73&lt;&gt;"",I73,IF(I70&lt;&gt;"",I70,"?")))</f>
        <v>No or few joints</v>
      </c>
      <c r="J75" s="1337"/>
      <c r="K75" s="1338" t="s">
        <v>497</v>
      </c>
      <c r="L75" s="1339" t="s">
        <v>58</v>
      </c>
      <c r="M75" s="773">
        <f>IF(M21="",'Parameter tables'!H90,IF(M21="a",'Parameter tables'!H88,IF(M21="b",'Parameter tables'!H89,IF(M21="c",'Parameter tables'!H90,IF(M21="d",'Parameter tables'!H91,IF(M21="e",'Parameter tables'!H92,IF(M21="f",'Parameter tables'!H93,IF(M21="g",'Parameter tables'!H94,"?"))))))))</f>
        <v>3</v>
      </c>
      <c r="N75" s="872"/>
      <c r="O75" s="873"/>
      <c r="P75" s="1898"/>
      <c r="Q75" s="1113" t="str">
        <f>IF(M17="","",IF(M17="a",'Parameter tables'!B54,IF(M17="b",'Parameter tables'!B55,IF(M17="c",'Parameter tables'!B56,IF(M17="d",'Parameter tables'!B57,IF(M17="e",'Parameter tables'!B58,"?"))))))</f>
        <v/>
      </c>
      <c r="R75" s="905" t="s">
        <v>167</v>
      </c>
      <c r="S75" s="1094"/>
      <c r="T75" s="763"/>
      <c r="U75" s="43"/>
      <c r="V75" s="50"/>
      <c r="W75" s="50"/>
      <c r="X75" s="50"/>
      <c r="Y75" s="42"/>
      <c r="Z75" s="42"/>
      <c r="AA75" s="43"/>
      <c r="AB75" s="43"/>
      <c r="AC75" s="43"/>
      <c r="AD75" s="43"/>
      <c r="AE75" s="43"/>
      <c r="AF75" s="43"/>
    </row>
    <row r="76" spans="1:32" ht="13.9" customHeight="1">
      <c r="A76" s="1911" t="s">
        <v>132</v>
      </c>
      <c r="B76" s="1912"/>
      <c r="C76" s="1949"/>
      <c r="D76" s="1965" t="s">
        <v>73</v>
      </c>
      <c r="E76" s="756">
        <f>IF(AND(M23="",M24=""),'Parameter tables'!J105,IF(M23="a",'Parameter tables'!J104,IF(M23="b",'Parameter tables'!J105,IF(M23="c",'Parameter tables'!J106,IF(M23="d",'Parameter tables'!J107,IF(M23="e",'Parameter tables'!J108,IF(M23="f",'Parameter tables'!J109,"")))))))</f>
        <v>1</v>
      </c>
      <c r="F76" s="781"/>
      <c r="G76" s="782" t="str">
        <f>IF(M23="","(common value)","")</f>
        <v>(common value)</v>
      </c>
      <c r="H76" s="783"/>
      <c r="I76" s="760" t="str">
        <f>IF(M23="","",IF(M23="h",'Parameter tables'!B112,IF(M23="j",'Parameter tables'!B113,IF(M23="l",'Parameter tables'!B114,IF(M23="n",'Parameter tables'!B116,"")))))</f>
        <v/>
      </c>
      <c r="J76" s="1978" t="s">
        <v>406</v>
      </c>
      <c r="K76" s="1339" t="s">
        <v>181</v>
      </c>
      <c r="L76" s="874" t="str">
        <f>IF(M76="","","A4d =")</f>
        <v>A4d =</v>
      </c>
      <c r="M76" s="875">
        <f>IF(AND(M23="",M24=""),'Parameter tables'!H105,IF(M24="h",'Parameter tables'!H112,IF(M24="j",'Parameter tables'!H113,IF(M24="l",'Parameter tables'!H114,IF(M24="n",'Parameter tables'!H115,IF(OR(M23="a",M23="b",M23="c",M23="d",M23="e",M23="f"),'Parameter tables'!H105,""))))))</f>
        <v>6</v>
      </c>
      <c r="N76" s="876" t="s">
        <v>402</v>
      </c>
      <c r="O76" s="1324">
        <f>M73+M74+M75+M79</f>
        <v>21</v>
      </c>
      <c r="P76" s="1898"/>
      <c r="Q76" s="1113"/>
      <c r="R76" s="1083" t="s">
        <v>118</v>
      </c>
      <c r="S76" s="1095">
        <v>1000</v>
      </c>
      <c r="T76" s="1085" t="s">
        <v>135</v>
      </c>
      <c r="U76" s="1352">
        <v>400</v>
      </c>
      <c r="V76" s="1366" t="s">
        <v>421</v>
      </c>
      <c r="W76" s="1367"/>
      <c r="X76" s="1368"/>
      <c r="Y76" s="1369"/>
      <c r="Z76" s="44"/>
      <c r="AA76" s="43"/>
      <c r="AB76" s="43"/>
      <c r="AC76" s="43"/>
      <c r="AD76" s="43"/>
      <c r="AE76" s="43"/>
      <c r="AF76" s="43"/>
    </row>
    <row r="77" spans="1:32" ht="14.45" customHeight="1">
      <c r="A77" s="1911"/>
      <c r="B77" s="1912"/>
      <c r="C77" s="1949"/>
      <c r="D77" s="1967"/>
      <c r="E77" s="745" t="str">
        <f>IF(M24="h",'Parameter tables'!J112,IF(M24="j",'Parameter tables'!J113,IF(M24="l",'Parameter tables'!J114,IF(M24="n",'Parameter tables'!J115,""))))</f>
        <v/>
      </c>
      <c r="F77" s="784"/>
      <c r="G77" s="785" t="str">
        <f>IF(E77="","","filled joint &lt; 5 mm")</f>
        <v/>
      </c>
      <c r="H77" s="786"/>
      <c r="I77" s="760"/>
      <c r="J77" s="1979"/>
      <c r="K77" s="833" t="s">
        <v>182</v>
      </c>
      <c r="L77" s="874" t="str">
        <f>IF(M77="","","A4d =")</f>
        <v/>
      </c>
      <c r="M77" s="773" t="str">
        <f>IF(M24="i",'Parameter tables'!I112,IF(M24="k",'Parameter tables'!I113,IF(M24="m",'Parameter tables'!I114,IF(M24="o",'Parameter tables'!I115,""))))</f>
        <v/>
      </c>
      <c r="N77" s="877"/>
      <c r="O77" s="873"/>
      <c r="P77" s="1898"/>
      <c r="Q77" s="1114"/>
      <c r="R77" s="1086" t="s">
        <v>118</v>
      </c>
      <c r="S77" s="1096">
        <f t="shared" ref="S77:S82" si="0">U76</f>
        <v>400</v>
      </c>
      <c r="T77" s="1088" t="s">
        <v>135</v>
      </c>
      <c r="U77" s="1357">
        <v>100</v>
      </c>
      <c r="V77" s="1358" t="s">
        <v>422</v>
      </c>
      <c r="W77" s="1359"/>
      <c r="X77" s="1360"/>
      <c r="Y77" s="1370"/>
      <c r="Z77" s="42"/>
      <c r="AA77" s="43"/>
      <c r="AB77" s="43"/>
      <c r="AC77" s="43"/>
      <c r="AD77" s="43"/>
      <c r="AE77" s="43"/>
      <c r="AF77" s="43"/>
    </row>
    <row r="78" spans="1:32" ht="13.9" customHeight="1">
      <c r="A78" s="1911"/>
      <c r="B78" s="1912"/>
      <c r="C78" s="1949"/>
      <c r="D78" s="1966"/>
      <c r="E78" s="745" t="str">
        <f>IF(M24="i",'Parameter tables'!K112,IF(M24="k",'Parameter tables'!K113,IF(M24="m",'Parameter tables'!K114,IF(M24="o",'Parameter tables'!K115,""))))</f>
        <v/>
      </c>
      <c r="F78" s="784"/>
      <c r="G78" s="785" t="str">
        <f>IF(E78="","","filled joint &gt; 5mm")</f>
        <v/>
      </c>
      <c r="H78" s="786"/>
      <c r="I78" s="760"/>
      <c r="J78" s="1975" t="s">
        <v>327</v>
      </c>
      <c r="K78" s="1976"/>
      <c r="L78" s="1977"/>
      <c r="M78" s="773">
        <f>IF(M23="",'Parameter tables'!H105,IF(M23="a",'Parameter tables'!H104,IF(M23="b",'Parameter tables'!H105,IF(M23="c",'Parameter tables'!H106,IF(M23="d",'Parameter tables'!H107,IF(M23="e",'Parameter tables'!H108,IF(M23="f",'Parameter tables'!H109,'Parameter tables'!H109)))))))</f>
        <v>6</v>
      </c>
      <c r="N78" s="872"/>
      <c r="O78" s="873"/>
      <c r="P78" s="1898"/>
      <c r="Q78" s="1114"/>
      <c r="R78" s="1086" t="s">
        <v>118</v>
      </c>
      <c r="S78" s="1096">
        <f t="shared" si="0"/>
        <v>100</v>
      </c>
      <c r="T78" s="1088" t="s">
        <v>135</v>
      </c>
      <c r="U78" s="1357">
        <v>40</v>
      </c>
      <c r="V78" s="1358" t="s">
        <v>417</v>
      </c>
      <c r="W78" s="1359"/>
      <c r="X78" s="1360"/>
      <c r="Y78" s="1370"/>
      <c r="Z78" s="42"/>
      <c r="AA78" s="43"/>
      <c r="AB78" s="43"/>
      <c r="AC78" s="43"/>
      <c r="AD78" s="43"/>
      <c r="AE78" s="43"/>
      <c r="AF78" s="43"/>
    </row>
    <row r="79" spans="1:32" ht="14.25" customHeight="1">
      <c r="A79" s="1886"/>
      <c r="B79" s="1913"/>
      <c r="C79" s="1887"/>
      <c r="D79" s="764" t="s">
        <v>677</v>
      </c>
      <c r="E79" s="765">
        <f>SUM(E76:E78)</f>
        <v>1</v>
      </c>
      <c r="F79" s="766" t="str">
        <f>IF(M31="","",IF(M38="",'Parameter tables'!J106,IF(M38="b",'Parameter tables'!J105,IF(M38="d",'Parameter tables'!J107,IF(M38="f",'Parameter tables'!J109,IF(M38="i",'Parameter tables'!K112,IF(M38="m",'Parameter tables'!K114,IF(M38="o",'Parameter tables'!K115,""))))))))</f>
        <v/>
      </c>
      <c r="G79" s="787"/>
      <c r="H79" s="768"/>
      <c r="I79" s="760" t="str">
        <f>IF(M23="",'Parameter tables'!B105,IF(M23="a",'Parameter tables'!B104,IF(M23="b",'Parameter tables'!B105,IF(M23="c",'Parameter tables'!B106,IF(M23="d",'Parameter tables'!B107,IF(M23="e",'Parameter tables'!B108,IF(M23="f",'Parameter tables'!B109,"")))))))</f>
        <v>Unaltered, fresh joint walls  // no filling</v>
      </c>
      <c r="J79" s="1981" t="s">
        <v>685</v>
      </c>
      <c r="K79" s="1982"/>
      <c r="L79" s="1983"/>
      <c r="M79" s="790">
        <f>SUM(M76:M78)</f>
        <v>12</v>
      </c>
      <c r="N79" s="878"/>
      <c r="O79" s="879"/>
      <c r="P79" s="1899"/>
      <c r="Q79" s="1114"/>
      <c r="R79" s="1086" t="s">
        <v>118</v>
      </c>
      <c r="S79" s="1096">
        <f t="shared" si="0"/>
        <v>40</v>
      </c>
      <c r="T79" s="1088" t="s">
        <v>135</v>
      </c>
      <c r="U79" s="1357">
        <v>10</v>
      </c>
      <c r="V79" s="1358" t="s">
        <v>418</v>
      </c>
      <c r="W79" s="1359"/>
      <c r="X79" s="1360"/>
      <c r="Y79" s="1370"/>
      <c r="Z79" s="42"/>
      <c r="AA79" s="43"/>
      <c r="AB79" s="43"/>
      <c r="AC79" s="43"/>
      <c r="AD79" s="43"/>
      <c r="AE79" s="43"/>
      <c r="AF79" s="43"/>
    </row>
    <row r="80" spans="1:32" ht="14.25" customHeight="1">
      <c r="A80" s="1950" t="s">
        <v>134</v>
      </c>
      <c r="B80" s="1951"/>
      <c r="C80" s="1952"/>
      <c r="D80" s="788" t="s">
        <v>102</v>
      </c>
      <c r="E80" s="789">
        <f>IF(M27="",'Parameter tables'!J137,IF(M27="a",'Parameter tables'!J137,IF(M27="b",'Parameter tables'!J137,IF(M27="c",'Parameter tables'!J139,IF(M27="d",'Parameter tables'!J140,IF(M27="e",'Parameter tables'!J141,IF(M27="f",'Parameter tables'!J142,IF(M27="g",'Parameter tables'!J143,"?"))))))))</f>
        <v>1</v>
      </c>
      <c r="F80" s="790">
        <f>IF(M39="",'Parameter tables'!J137,IF(M39="a",'Parameter tables'!J137,IF(M39="b",'Parameter tables'!J137,IF(M39="c",'Parameter tables'!J139,IF(M39="d",'Parameter tables'!J140,IF(M39="e",'Parameter tables'!J141,IF(M39="f",'Parameter tables'!J142,IF(M39="g",'Parameter tables'!J143,"?"))))))))</f>
        <v>1</v>
      </c>
      <c r="G80" s="791" t="str">
        <f>IF(M27="",'Parameter tables'!A138,IF(M27="a",'Parameter tables'!A137,IF(M27="b",'Parameter tables'!A138,IF(M27="c",'Parameter tables'!A139,IF(M27="d",'Parameter tables'!A140,IF(M27="e",'Parameter tables'!A141,IF(M27="f",'Parameter tables'!A142,IF(M27="g",'Parameter tables'!A143,"?"))))))))</f>
        <v>damp</v>
      </c>
      <c r="H80" s="792" t="str">
        <f>IF(M39="",'Parameter tables'!A138,IF(M39="a",'Parameter tables'!A137,IF(M39="b",'Parameter tables'!A138,IF(M39="c",'Parameter tables'!A139,IF(M39="d",'Parameter tables'!A140,IF(M39="e",'Parameter tables'!A141,IF(M39="f",'Parameter tables'!A142,IF(M39="g",'Parameter tables'!A143,"?"))))))))</f>
        <v>damp</v>
      </c>
      <c r="I80" s="776"/>
      <c r="J80" s="1328" t="s">
        <v>129</v>
      </c>
      <c r="K80" s="1330"/>
      <c r="L80" s="750" t="s">
        <v>101</v>
      </c>
      <c r="M80" s="880">
        <f>IF(M27="",'Parameter tables'!H138,IF(M27="a",'Parameter tables'!H137,IF(M27="b",'Parameter tables'!H138,IF(M27="c",'Parameter tables'!H139,IF(M27="d",'Parameter tables'!H140,IF(M27="e",'Parameter tables'!H141,IF(M27="f",'Parameter tables'!H141,"?")))))))</f>
        <v>10</v>
      </c>
      <c r="N80" s="881"/>
      <c r="O80" s="881"/>
      <c r="P80" s="882"/>
      <c r="Q80" s="1114"/>
      <c r="R80" s="1086" t="s">
        <v>118</v>
      </c>
      <c r="S80" s="1096">
        <f t="shared" si="0"/>
        <v>10</v>
      </c>
      <c r="T80" s="1088" t="s">
        <v>135</v>
      </c>
      <c r="U80" s="1357">
        <v>4</v>
      </c>
      <c r="V80" s="1359" t="s">
        <v>178</v>
      </c>
      <c r="W80" s="1359"/>
      <c r="X80" s="1360"/>
      <c r="Y80" s="1370"/>
      <c r="Z80" s="42"/>
      <c r="AA80" s="43"/>
      <c r="AB80" s="43"/>
      <c r="AC80" s="43"/>
      <c r="AD80" s="43"/>
      <c r="AE80" s="43"/>
      <c r="AF80" s="43"/>
    </row>
    <row r="81" spans="1:32" ht="13.5" customHeight="1">
      <c r="A81" s="1884" t="s">
        <v>131</v>
      </c>
      <c r="B81" s="1910"/>
      <c r="C81" s="1316"/>
      <c r="D81" s="793" t="s">
        <v>678</v>
      </c>
      <c r="E81" s="794">
        <f>IF(M28="",'Parameter tables'!J150,IF(M28="a",'Parameter tables'!J148,IF(M28="b",'Parameter tables'!J148,IF(M28="c",'Parameter tables'!J150,IF(M28="d",'Parameter tables'!J151,IF(M28="e",'Parameter tables'!J153,IF(M28="f",'Parameter tables'!J154,IF(M28="g",'Parameter tables'!J155,IF(M28="h",'Parameter tables'!J156,IF(M28="i",'Parameter tables'!J157,""))))))))))</f>
        <v>1</v>
      </c>
      <c r="F81" s="795" t="str">
        <f>IF(M31="f",'Parameter tables'!J163,IF(M31="g",'Parameter tables'!J164,IF(M31="h",'Parameter tables'!J165,IF(M31="i",'Parameter tables'!J162,""))))</f>
        <v/>
      </c>
      <c r="G81" s="1333" t="s">
        <v>679</v>
      </c>
      <c r="H81" s="796"/>
      <c r="I81" s="797" t="str">
        <f>IF(M23="","",IF(M23="i",'Parameter tables'!B112,IF(M23="k",'Parameter tables'!B113,IF(M23="m",'Parameter tables'!B114,IF(M23="o",'Parameter tables'!B116,"")))))</f>
        <v/>
      </c>
      <c r="J81" s="1325" t="s">
        <v>632</v>
      </c>
      <c r="K81" s="883"/>
      <c r="L81" s="788" t="s">
        <v>515</v>
      </c>
      <c r="M81" s="799">
        <f>IF(M19="",-2,IF(M19="a",'Parameter tables'!H80,IF(M19="b",'Parameter tables'!H81,IF(M19="c",'Parameter tables'!H82,IF(M19="d",'Parameter tables'!H83,IF(M19="e",'Parameter tables'!H84,"?"))))))</f>
        <v>-2</v>
      </c>
      <c r="N81" s="843" t="s">
        <v>631</v>
      </c>
      <c r="O81" s="842"/>
      <c r="P81" s="882"/>
      <c r="Q81" s="1114"/>
      <c r="R81" s="1086" t="s">
        <v>118</v>
      </c>
      <c r="S81" s="1096">
        <f t="shared" si="0"/>
        <v>4</v>
      </c>
      <c r="T81" s="1088" t="s">
        <v>135</v>
      </c>
      <c r="U81" s="1357">
        <v>1</v>
      </c>
      <c r="V81" s="1358" t="s">
        <v>419</v>
      </c>
      <c r="W81" s="1359"/>
      <c r="X81" s="1360"/>
      <c r="Y81" s="1370"/>
      <c r="Z81" s="42"/>
      <c r="AA81" s="43"/>
      <c r="AB81" s="43"/>
      <c r="AC81" s="43"/>
      <c r="AD81" s="43"/>
      <c r="AE81" s="43"/>
      <c r="AF81" s="43"/>
    </row>
    <row r="82" spans="1:32" ht="15.75" customHeight="1">
      <c r="A82" s="1886"/>
      <c r="B82" s="1913"/>
      <c r="C82" s="1317"/>
      <c r="D82" s="798" t="s">
        <v>680</v>
      </c>
      <c r="E82" s="799" t="str">
        <f>IF(M28&lt;&gt;"d","",IF(AND(M28="d",E91&gt;20),'Parameter tables'!U151,IF(AND(M28="d",E91&gt;10),'Parameter tables'!S151,'Parameter tables'!Q151)))</f>
        <v/>
      </c>
      <c r="F82" s="800" t="str">
        <f>IF(M28&lt;&gt;"d","",IF(AND(M28="d",E91&gt;20),'Parameter tables'!U151,IF(AND(M28="d",E91&gt;10),'Parameter tables'!S151,'Parameter tables'!Q151)))</f>
        <v/>
      </c>
      <c r="G82" s="801" t="s">
        <v>602</v>
      </c>
      <c r="H82" s="802"/>
      <c r="I82" s="2084" t="str">
        <f>IF(I79&lt;&gt;"",I79,IF(I76&lt;&gt;"",I76,IF(I81&lt;&gt;"",I81,"?")))</f>
        <v>Unaltered, fresh joint walls  // no filling</v>
      </c>
      <c r="J82" s="1984" t="s">
        <v>117</v>
      </c>
      <c r="K82" s="1985"/>
      <c r="L82" s="1986"/>
      <c r="M82" s="884" t="str">
        <f>IF(M12="","",IF(M80="?","outside limit",M68+M69+M72+O76+M80+M81))</f>
        <v/>
      </c>
      <c r="N82" s="885" t="str">
        <f>IF(M82="","",IF(M82="-","",IF(M82&gt;U69,V69,IF(M82&gt;U70,V70,IF(M82&gt;U71,V71,IF(M82&gt;U72,V72,V73))))))</f>
        <v/>
      </c>
      <c r="O82" s="886"/>
      <c r="P82" s="887"/>
      <c r="Q82" s="739"/>
      <c r="R82" s="1086" t="s">
        <v>118</v>
      </c>
      <c r="S82" s="1096">
        <f t="shared" si="0"/>
        <v>1</v>
      </c>
      <c r="T82" s="1088" t="s">
        <v>135</v>
      </c>
      <c r="U82" s="1357">
        <v>0.1</v>
      </c>
      <c r="V82" s="1358" t="s">
        <v>420</v>
      </c>
      <c r="W82" s="1359"/>
      <c r="X82" s="1360"/>
      <c r="Y82" s="1370"/>
      <c r="Z82" s="42"/>
      <c r="AA82" s="43"/>
      <c r="AB82" s="43"/>
      <c r="AC82" s="43"/>
      <c r="AD82" s="43"/>
      <c r="AE82" s="43"/>
      <c r="AF82" s="43"/>
    </row>
    <row r="83" spans="1:32" ht="14.25" customHeight="1">
      <c r="A83" s="2043" t="s">
        <v>142</v>
      </c>
      <c r="B83" s="2044"/>
      <c r="C83" s="803"/>
      <c r="D83" s="804" t="s">
        <v>118</v>
      </c>
      <c r="E83" s="805" t="str">
        <f>IF(M12="","",E69/E72*E75/E79*E80/E81)</f>
        <v/>
      </c>
      <c r="F83" s="746" t="str">
        <f>IF(M31="","",F69/F72*F75/F79*F80/F81)</f>
        <v/>
      </c>
      <c r="G83" s="806" t="str">
        <f>IF(E83="","",IF(E83&gt;$U$77,$V$77,IF(E83&gt;$U$78,$V$78,IF(E83&gt;$U$79,$V$79,IF(E83&gt;$U$80,$V$80,IF(E83&gt;$U$81,$V$81,IF(E83&gt;$U$82,$V$82,IF(E83&gt;$U$83,$V$83,$V$84))))))))</f>
        <v/>
      </c>
      <c r="H83" s="807" t="str">
        <f>IF(F83="","",IF(F83&gt;$U$77,$V$77,IF(F83&gt;$U$78,$V$78,IF(F83&gt;$U$79,$V$79,IF(F83&gt;$U$80,$V$80,IF(F83&gt;$U$81,$V$81,IF(F83&gt;$U$82,$V$82,IF(F83&gt;$U$83,$V$83,$V$84))))))))</f>
        <v/>
      </c>
      <c r="I83" s="2084"/>
      <c r="J83" s="2087" t="s">
        <v>751</v>
      </c>
      <c r="K83" s="2088"/>
      <c r="L83" s="2091" t="str">
        <f>IF(M82="","",IF(M31&lt;&gt;"","Weak zone: RMR limit and support is unclear",IF(OR(M28="e",M28="f",M28="g"),"Outside stress limit of RMR?",IF(OR(M28="h",M28="i"),"RMR does not include squeezing",IF(M27="e","Shotcrete spraying may be difficult",IF(OR(M27="e",M27="f"),"Inflowing water: Difficult to apply shotcrete",IF(M27="g","Water inburst is outside limit of RMR","")))))))</f>
        <v/>
      </c>
      <c r="M83" s="2091"/>
      <c r="N83" s="2091"/>
      <c r="O83" s="2091"/>
      <c r="P83" s="2092"/>
      <c r="Q83" s="739"/>
      <c r="R83" s="1086" t="s">
        <v>118</v>
      </c>
      <c r="S83" s="1096">
        <f>U82</f>
        <v>0.1</v>
      </c>
      <c r="T83" s="1088" t="s">
        <v>135</v>
      </c>
      <c r="U83" s="1357">
        <v>0.01</v>
      </c>
      <c r="V83" s="1371" t="s">
        <v>423</v>
      </c>
      <c r="W83" s="1372"/>
      <c r="X83" s="1360"/>
      <c r="Y83" s="1370"/>
      <c r="Z83" s="42"/>
      <c r="AA83" s="43"/>
      <c r="AB83" s="43"/>
      <c r="AC83" s="43"/>
      <c r="AD83" s="43"/>
      <c r="AE83" s="43"/>
      <c r="AF83" s="43"/>
    </row>
    <row r="84" spans="1:32" ht="14.25" customHeight="1">
      <c r="A84" s="2045"/>
      <c r="B84" s="2046"/>
      <c r="C84" s="808"/>
      <c r="D84" s="809" t="s">
        <v>835</v>
      </c>
      <c r="E84" s="810"/>
      <c r="F84" s="811" t="str">
        <f>IF(AND(M12&lt;&gt;"",M31&lt;&gt;""),10^((F131*LOG(F83)+LOG(E83))/(F131+1)),"")</f>
        <v/>
      </c>
      <c r="G84" s="812"/>
      <c r="H84" s="813" t="str">
        <f>IF(F84="","",IF(F84&gt;$U$77,$V$77,IF(F84&gt;$U$78,$V$78,IF(F84&gt;$U$79,$V$79,IF(F84&gt;$U$80,$V$80,IF(F84&gt;$U$81,$V$81,IF(F84&gt;$U$82,$V$82,IF(F84&gt;$U$83,$V$83,$V$84))))))))</f>
        <v/>
      </c>
      <c r="I84" s="763"/>
      <c r="J84" s="2089"/>
      <c r="K84" s="2090"/>
      <c r="L84" s="2093"/>
      <c r="M84" s="2093"/>
      <c r="N84" s="2093"/>
      <c r="O84" s="2093"/>
      <c r="P84" s="2094"/>
      <c r="Q84" s="739"/>
      <c r="R84" s="1089" t="s">
        <v>118</v>
      </c>
      <c r="S84" s="1097">
        <f>U83</f>
        <v>0.01</v>
      </c>
      <c r="T84" s="1091" t="s">
        <v>135</v>
      </c>
      <c r="U84" s="1373">
        <v>1E-3</v>
      </c>
      <c r="V84" s="1362" t="s">
        <v>424</v>
      </c>
      <c r="W84" s="1363"/>
      <c r="X84" s="1364"/>
      <c r="Y84" s="1374"/>
      <c r="Z84" s="42"/>
      <c r="AA84" s="43"/>
      <c r="AB84" s="43"/>
      <c r="AC84" s="43"/>
      <c r="AD84" s="43"/>
      <c r="AE84" s="43"/>
      <c r="AF84" s="43"/>
    </row>
    <row r="85" spans="1:32" ht="14.25" customHeight="1">
      <c r="A85" s="2045"/>
      <c r="B85" s="2046"/>
      <c r="C85" s="814"/>
      <c r="D85" s="815" t="str">
        <f>IF(E85=F83,"Qz =",IF(E85=E83,"Q =","Qa ="))</f>
        <v>Qz =</v>
      </c>
      <c r="E85" s="1968" t="str">
        <f>IF(AND(M12&lt;&gt;"",O44&lt;&gt;""),F84,IF(M12&lt;&gt;"",E83,IF(M31&lt;&gt;"",F83,"")))</f>
        <v/>
      </c>
      <c r="F85" s="1969"/>
      <c r="G85" s="816" t="str">
        <f>IF(E85="","",IF(E85&gt;$U$77,$V$77,IF(E85&gt;$U$78,$V$78,IF(E85&gt;$U$79,$V$79,IF(E85&gt;$U$80,$V$80,IF(E85&gt;$U$81,$V$81,IF(E85&gt;$U$82,$V$82,IF(E85&gt;$U$83,$V$83,$V$84))))))))</f>
        <v/>
      </c>
      <c r="H85" s="817"/>
      <c r="I85" s="763"/>
      <c r="J85" s="1989" t="s">
        <v>304</v>
      </c>
      <c r="K85" s="1990"/>
      <c r="L85" s="888" t="s">
        <v>303</v>
      </c>
      <c r="M85" s="757" t="str">
        <f>IF(OR(M82="-",M82=""),"",IF(M82&lt;=50,"",2*M82-100))</f>
        <v/>
      </c>
      <c r="N85" s="889" t="s">
        <v>337</v>
      </c>
      <c r="O85" s="890"/>
      <c r="P85" s="891"/>
      <c r="Q85" s="739"/>
      <c r="R85" s="776"/>
      <c r="S85" s="776"/>
      <c r="T85" s="776"/>
      <c r="Z85" s="42"/>
      <c r="AA85" s="43"/>
      <c r="AB85" s="43"/>
      <c r="AC85" s="43"/>
      <c r="AD85" s="43"/>
      <c r="AE85" s="43"/>
      <c r="AF85" s="43"/>
    </row>
    <row r="86" spans="1:32" ht="14.25" customHeight="1">
      <c r="A86" s="2045"/>
      <c r="B86" s="2046"/>
      <c r="C86" s="814"/>
      <c r="D86" s="818" t="s">
        <v>119</v>
      </c>
      <c r="E86" s="819" t="str">
        <f>IF(M12="","",E83*F100/100)</f>
        <v/>
      </c>
      <c r="F86" s="819" t="str">
        <f>IF(M31="","",F83*F124/100)</f>
        <v/>
      </c>
      <c r="G86" s="820" t="s">
        <v>368</v>
      </c>
      <c r="H86" s="821"/>
      <c r="I86" s="763"/>
      <c r="J86" s="1991"/>
      <c r="K86" s="1992"/>
      <c r="L86" s="892" t="s">
        <v>303</v>
      </c>
      <c r="M86" s="799" t="str">
        <f>IF(M82="?","?",IF(M82&gt;50,"",10^((M82-10)/40)))</f>
        <v/>
      </c>
      <c r="N86" s="843" t="s">
        <v>338</v>
      </c>
      <c r="O86" s="853"/>
      <c r="P86" s="893"/>
      <c r="Q86" s="739"/>
      <c r="R86" s="905" t="s">
        <v>147</v>
      </c>
      <c r="S86" s="1094"/>
      <c r="T86" s="739"/>
      <c r="U86" s="634"/>
      <c r="V86" s="14"/>
      <c r="W86" s="14"/>
      <c r="X86" s="50"/>
      <c r="Y86" s="42"/>
      <c r="Z86" s="42"/>
      <c r="AA86" s="43"/>
      <c r="AB86" s="43"/>
      <c r="AC86" s="43"/>
      <c r="AD86" s="43"/>
      <c r="AE86" s="43"/>
      <c r="AF86" s="43"/>
    </row>
    <row r="87" spans="1:32" ht="15">
      <c r="A87" s="2045"/>
      <c r="B87" s="2046"/>
      <c r="C87" s="814"/>
      <c r="D87" s="769" t="s">
        <v>681</v>
      </c>
      <c r="E87" s="746" t="str">
        <f>IF(M12="","",IF(E83&gt;10,E83*5,IF(E83&gt;0.1,2.5*E83,E83)))</f>
        <v/>
      </c>
      <c r="F87" s="822" t="str">
        <f>IF(M31="","",IF(F83&gt;10,F83*5,IF(F83&gt;0.1,2.5*F83,F83)))</f>
        <v/>
      </c>
      <c r="G87" s="823"/>
      <c r="H87" s="824"/>
      <c r="I87" s="763"/>
      <c r="J87" s="776"/>
      <c r="K87" s="776"/>
      <c r="L87" s="776"/>
      <c r="M87" s="776"/>
      <c r="N87" s="776"/>
      <c r="O87" s="894"/>
      <c r="P87" s="894"/>
      <c r="Q87" s="23"/>
      <c r="R87" s="1083" t="s">
        <v>121</v>
      </c>
      <c r="S87" s="1098">
        <v>100</v>
      </c>
      <c r="T87" s="1099" t="s">
        <v>56</v>
      </c>
      <c r="U87" s="1375">
        <v>40</v>
      </c>
      <c r="V87" s="1376" t="s">
        <v>425</v>
      </c>
      <c r="W87" s="1377"/>
      <c r="X87" s="1378"/>
      <c r="Y87" s="1369"/>
      <c r="Z87" s="42"/>
      <c r="AA87" s="43"/>
      <c r="AB87" s="43"/>
      <c r="AC87" s="43"/>
      <c r="AD87" s="43"/>
      <c r="AE87" s="43"/>
      <c r="AF87" s="43"/>
    </row>
    <row r="88" spans="1:32" ht="14.25" customHeight="1">
      <c r="A88" s="2047"/>
      <c r="B88" s="2048"/>
      <c r="C88" s="825"/>
      <c r="D88" s="826" t="s">
        <v>682</v>
      </c>
      <c r="E88" s="1968" t="str">
        <f>IF(OR(M28="e",M28="f",M28="g"),E87,IF(M12&lt;&gt;"",10^((F131*LOG(F87)+LOG(E87))/(F131+1)),F87))</f>
        <v/>
      </c>
      <c r="F88" s="1969"/>
      <c r="G88" s="827" t="s">
        <v>623</v>
      </c>
      <c r="H88" s="828"/>
      <c r="I88" s="829"/>
      <c r="J88" s="895"/>
      <c r="K88" s="776"/>
      <c r="L88" s="776"/>
      <c r="M88" s="776"/>
      <c r="N88" s="776"/>
      <c r="O88" s="894"/>
      <c r="P88" s="894"/>
      <c r="Q88" s="482"/>
      <c r="R88" s="1086" t="s">
        <v>121</v>
      </c>
      <c r="S88" s="1100">
        <f>U87</f>
        <v>40</v>
      </c>
      <c r="T88" s="1101" t="s">
        <v>56</v>
      </c>
      <c r="U88" s="1379">
        <v>10</v>
      </c>
      <c r="V88" s="1380" t="s">
        <v>394</v>
      </c>
      <c r="W88" s="1381"/>
      <c r="X88" s="1382"/>
      <c r="Y88" s="1370"/>
      <c r="Z88" s="42"/>
      <c r="AA88" s="43"/>
      <c r="AB88" s="43"/>
      <c r="AC88" s="43"/>
      <c r="AD88" s="43"/>
      <c r="AE88" s="43"/>
      <c r="AF88" s="43"/>
    </row>
    <row r="89" spans="1:32" ht="14.25" customHeight="1">
      <c r="A89" s="1884" t="s">
        <v>141</v>
      </c>
      <c r="B89" s="1910"/>
      <c r="C89" s="1334"/>
      <c r="D89" s="830" t="s">
        <v>455</v>
      </c>
      <c r="E89" s="746">
        <f>IF(P1="",1,P1)</f>
        <v>1</v>
      </c>
      <c r="F89" s="770"/>
      <c r="G89" s="831"/>
      <c r="H89" s="796"/>
      <c r="I89" s="832"/>
      <c r="J89" s="896"/>
      <c r="K89" s="897"/>
      <c r="L89" s="898"/>
      <c r="M89" s="899"/>
      <c r="N89" s="899"/>
      <c r="O89" s="899"/>
      <c r="P89" s="899"/>
      <c r="Q89" s="482"/>
      <c r="R89" s="1086" t="s">
        <v>121</v>
      </c>
      <c r="S89" s="1100">
        <f>U88</f>
        <v>10</v>
      </c>
      <c r="T89" s="1101" t="s">
        <v>56</v>
      </c>
      <c r="U89" s="1379">
        <v>1</v>
      </c>
      <c r="V89" s="1380" t="s">
        <v>374</v>
      </c>
      <c r="W89" s="1381"/>
      <c r="X89" s="1382"/>
      <c r="Y89" s="1370"/>
      <c r="Z89" s="42"/>
      <c r="AA89" s="43"/>
      <c r="AB89" s="43"/>
      <c r="AC89" s="43"/>
      <c r="AD89" s="43"/>
      <c r="AE89" s="43"/>
      <c r="AF89" s="43"/>
    </row>
    <row r="90" spans="1:32">
      <c r="A90" s="1911"/>
      <c r="B90" s="1912"/>
      <c r="C90" s="1334"/>
      <c r="D90" s="833" t="s">
        <v>145</v>
      </c>
      <c r="E90" s="1718">
        <f>IF(L3="",M60,L3)</f>
        <v>10</v>
      </c>
      <c r="F90" s="834"/>
      <c r="G90" s="835" t="s">
        <v>547</v>
      </c>
      <c r="H90" s="836">
        <f>E90/E89</f>
        <v>10</v>
      </c>
      <c r="I90" s="763" t="s">
        <v>1025</v>
      </c>
      <c r="J90" s="1132" t="s">
        <v>1028</v>
      </c>
      <c r="L90" s="1131"/>
      <c r="Q90" s="327"/>
      <c r="R90" s="1086" t="s">
        <v>121</v>
      </c>
      <c r="S90" s="1100">
        <f>U89</f>
        <v>1</v>
      </c>
      <c r="T90" s="1101" t="s">
        <v>56</v>
      </c>
      <c r="U90" s="1379">
        <v>0.4</v>
      </c>
      <c r="V90" s="1381" t="s">
        <v>426</v>
      </c>
      <c r="W90" s="1381"/>
      <c r="X90" s="1382"/>
      <c r="Y90" s="1370"/>
      <c r="Z90" s="42"/>
      <c r="AA90" s="43"/>
      <c r="AB90" s="43"/>
      <c r="AC90" s="43"/>
      <c r="AD90" s="43"/>
      <c r="AE90" s="43"/>
      <c r="AF90" s="43"/>
    </row>
    <row r="91" spans="1:32" ht="14.25" customHeight="1">
      <c r="A91" s="1886"/>
      <c r="B91" s="1913"/>
      <c r="C91" s="1329"/>
      <c r="D91" s="1323" t="s">
        <v>206</v>
      </c>
      <c r="E91" s="837">
        <f>IF(N3="",M61,N3)</f>
        <v>4</v>
      </c>
      <c r="F91" s="838"/>
      <c r="G91" s="839" t="s">
        <v>562</v>
      </c>
      <c r="H91" s="840">
        <f>E91/E89</f>
        <v>4</v>
      </c>
      <c r="I91" s="841"/>
      <c r="Q91" s="327"/>
      <c r="R91" s="1086" t="s">
        <v>121</v>
      </c>
      <c r="S91" s="1100">
        <f>U90</f>
        <v>0.4</v>
      </c>
      <c r="T91" s="1101" t="s">
        <v>56</v>
      </c>
      <c r="U91" s="1379">
        <v>0.1</v>
      </c>
      <c r="V91" s="1380" t="s">
        <v>427</v>
      </c>
      <c r="W91" s="1381"/>
      <c r="X91" s="1382"/>
      <c r="Y91" s="1370"/>
      <c r="Z91" s="42"/>
      <c r="AA91" s="43"/>
      <c r="AB91" s="43"/>
      <c r="AC91" s="43"/>
      <c r="AD91" s="43"/>
      <c r="AE91" s="43"/>
      <c r="AF91" s="43"/>
    </row>
    <row r="92" spans="1:32" ht="13.5" customHeight="1">
      <c r="A92" s="1940" t="s">
        <v>752</v>
      </c>
      <c r="B92" s="1941"/>
      <c r="C92" s="1942"/>
      <c r="D92" s="1859" t="str">
        <f>IF(M31&lt;&gt;"","Weak zone may need further evaluations","")</f>
        <v/>
      </c>
      <c r="E92" s="1331"/>
      <c r="F92" s="1331"/>
      <c r="G92" s="1331"/>
      <c r="H92" s="1332"/>
      <c r="I92" s="841"/>
      <c r="Q92" s="23"/>
      <c r="R92" s="1089" t="s">
        <v>121</v>
      </c>
      <c r="S92" s="1102">
        <f>U91</f>
        <v>0.1</v>
      </c>
      <c r="T92" s="1103" t="s">
        <v>56</v>
      </c>
      <c r="U92" s="1383">
        <v>0.01</v>
      </c>
      <c r="V92" s="1384" t="s">
        <v>428</v>
      </c>
      <c r="W92" s="1385"/>
      <c r="X92" s="1386"/>
      <c r="Y92" s="1374"/>
      <c r="Z92" s="42"/>
      <c r="AA92" s="43"/>
      <c r="AB92" s="43"/>
      <c r="AC92" s="43"/>
      <c r="AD92" s="43"/>
      <c r="AE92" s="43"/>
      <c r="AF92" s="43"/>
    </row>
    <row r="93" spans="1:32" ht="15" customHeight="1">
      <c r="A93" s="1943"/>
      <c r="B93" s="1944"/>
      <c r="C93" s="1945"/>
      <c r="D93" s="1040" t="str">
        <f>IF(E85="","",IF(OR(H90&gt;46*E85^0.18,H90&gt;63*E85^0.06),"Tunnel span outside limit",IF(OR(E91&gt;46*E88^0.18,E91&gt;63*E88^0.06),"Wall height outside limit",IF(E85&lt;0.1,"Potential limitations when Q &lt; 0.1",IF(OR(M28="h",M28="i"),"Potential limitations in design of squeezing ground","")))))</f>
        <v/>
      </c>
      <c r="E93" s="1040"/>
      <c r="F93" s="1040"/>
      <c r="G93" s="1040"/>
      <c r="H93" s="1041"/>
      <c r="I93" s="841"/>
      <c r="Q93" s="635"/>
      <c r="R93" s="4"/>
      <c r="S93" s="4"/>
      <c r="Z93" s="42"/>
      <c r="AA93" s="43"/>
      <c r="AB93" s="43"/>
      <c r="AC93" s="43"/>
      <c r="AD93" s="43"/>
      <c r="AE93" s="43"/>
      <c r="AF93" s="43"/>
    </row>
    <row r="94" spans="1:32" ht="15" customHeight="1">
      <c r="A94" s="1946"/>
      <c r="B94" s="1947"/>
      <c r="C94" s="1948"/>
      <c r="D94" s="1042" t="str">
        <f>IF(M27="e","Gushing; shotcrete spraying may be difficult",IF(OR(M27="f",M27="g"),"High water inflow: Shotcrete spraying is difficult / impossible",""))</f>
        <v/>
      </c>
      <c r="E94" s="1043"/>
      <c r="F94" s="1044"/>
      <c r="G94" s="1044"/>
      <c r="H94" s="1045"/>
      <c r="I94" s="841"/>
      <c r="Q94" s="635"/>
      <c r="R94" s="1121" t="s">
        <v>183</v>
      </c>
      <c r="S94" s="1121"/>
      <c r="T94" s="1121"/>
      <c r="U94" s="1121"/>
      <c r="V94" s="1121"/>
      <c r="W94" s="1121"/>
      <c r="X94" s="1121"/>
      <c r="Y94" s="42"/>
      <c r="Z94" s="42"/>
      <c r="AA94" s="43"/>
      <c r="AB94" s="43"/>
      <c r="AC94" s="43"/>
      <c r="AD94" s="43"/>
      <c r="AE94" s="43"/>
      <c r="AF94" s="43"/>
    </row>
    <row r="95" spans="1:32" ht="15" customHeight="1">
      <c r="A95" s="845"/>
      <c r="B95" s="846"/>
      <c r="C95" s="847"/>
      <c r="D95" s="750" t="s">
        <v>454</v>
      </c>
      <c r="E95" s="848" t="str">
        <f>IF(E83="","",IF(E83&lt;1,"   -",25*LOG(E83)))</f>
        <v/>
      </c>
      <c r="F95" s="849" t="s">
        <v>683</v>
      </c>
      <c r="G95" s="738"/>
      <c r="H95" s="850"/>
      <c r="I95" s="763"/>
      <c r="Q95" s="1193"/>
      <c r="R95" s="1107"/>
      <c r="S95" s="1084" t="s">
        <v>210</v>
      </c>
      <c r="T95" s="1099" t="s">
        <v>158</v>
      </c>
      <c r="U95" s="1375">
        <v>10</v>
      </c>
      <c r="V95" s="1376" t="s">
        <v>417</v>
      </c>
      <c r="W95" s="1377"/>
      <c r="X95" s="1378"/>
      <c r="Y95" s="1369"/>
      <c r="Z95" s="42"/>
      <c r="AA95" s="43"/>
      <c r="AB95" s="43"/>
      <c r="AC95" s="43"/>
      <c r="AD95" s="43"/>
      <c r="AE95" s="43"/>
      <c r="AF95" s="43"/>
    </row>
    <row r="96" spans="1:32" ht="14.25" customHeight="1" thickBot="1">
      <c r="A96" s="776"/>
      <c r="B96" s="776"/>
      <c r="C96" s="776"/>
      <c r="D96" s="832"/>
      <c r="E96" s="832"/>
      <c r="F96" s="776"/>
      <c r="G96" s="776"/>
      <c r="H96" s="776"/>
      <c r="I96" s="739"/>
      <c r="J96" s="8"/>
      <c r="Q96" s="23"/>
      <c r="R96" s="1086" t="s">
        <v>146</v>
      </c>
      <c r="S96" s="1100">
        <f>U95</f>
        <v>10</v>
      </c>
      <c r="T96" s="1101" t="s">
        <v>56</v>
      </c>
      <c r="U96" s="1379">
        <v>4</v>
      </c>
      <c r="V96" s="1380" t="s">
        <v>418</v>
      </c>
      <c r="W96" s="1381"/>
      <c r="X96" s="1382"/>
      <c r="Y96" s="1370"/>
      <c r="Z96" s="42"/>
      <c r="AA96" s="43"/>
      <c r="AB96" s="43"/>
      <c r="AC96" s="43"/>
      <c r="AD96" s="43"/>
      <c r="AE96" s="43"/>
      <c r="AF96" s="43"/>
    </row>
    <row r="97" spans="1:32" ht="14.25" customHeight="1" thickBot="1">
      <c r="A97" s="900"/>
      <c r="B97" s="900"/>
      <c r="C97" s="901"/>
      <c r="D97" s="902"/>
      <c r="E97" s="902"/>
      <c r="F97" s="902"/>
      <c r="G97" s="903"/>
      <c r="H97" s="2002" t="s">
        <v>411</v>
      </c>
      <c r="I97" s="2003"/>
      <c r="J97" s="2004"/>
      <c r="K97" s="904"/>
      <c r="L97" s="904"/>
      <c r="M97" s="904"/>
      <c r="N97" s="904"/>
      <c r="O97" s="904"/>
      <c r="P97" s="904"/>
      <c r="Q97" s="739"/>
      <c r="R97" s="1086" t="s">
        <v>146</v>
      </c>
      <c r="S97" s="1100">
        <f>U96</f>
        <v>4</v>
      </c>
      <c r="T97" s="1101" t="s">
        <v>56</v>
      </c>
      <c r="U97" s="1379">
        <v>1</v>
      </c>
      <c r="V97" s="1381" t="s">
        <v>178</v>
      </c>
      <c r="W97" s="1381"/>
      <c r="X97" s="1382"/>
      <c r="Y97" s="1370"/>
      <c r="Z97" s="42"/>
      <c r="AA97" s="43"/>
      <c r="AB97" s="43"/>
      <c r="AC97" s="43"/>
      <c r="AD97" s="43"/>
      <c r="AE97" s="43"/>
      <c r="AF97" s="43"/>
    </row>
    <row r="98" spans="1:32">
      <c r="A98" s="776"/>
      <c r="B98" s="905" t="s">
        <v>561</v>
      </c>
      <c r="C98" s="905"/>
      <c r="D98" s="905"/>
      <c r="E98" s="905"/>
      <c r="F98" s="905"/>
      <c r="G98" s="905"/>
      <c r="H98" s="906"/>
      <c r="I98" s="739"/>
      <c r="J98" s="907" t="s">
        <v>639</v>
      </c>
      <c r="K98" s="907"/>
      <c r="L98" s="907"/>
      <c r="M98" s="907"/>
      <c r="N98" s="907"/>
      <c r="O98" s="907"/>
      <c r="P98" s="907"/>
      <c r="Q98" s="739"/>
      <c r="R98" s="1086" t="s">
        <v>146</v>
      </c>
      <c r="S98" s="1100">
        <f>U97</f>
        <v>1</v>
      </c>
      <c r="T98" s="1101" t="s">
        <v>56</v>
      </c>
      <c r="U98" s="1379">
        <v>0.4</v>
      </c>
      <c r="V98" s="1380" t="s">
        <v>419</v>
      </c>
      <c r="W98" s="1381"/>
      <c r="X98" s="1382"/>
      <c r="Y98" s="1370"/>
      <c r="Z98" s="42"/>
      <c r="AA98" s="43"/>
      <c r="AB98" s="43"/>
      <c r="AC98" s="43"/>
      <c r="AD98" s="43"/>
      <c r="AE98" s="43"/>
      <c r="AF98" s="43"/>
    </row>
    <row r="99" spans="1:32" ht="13.9" customHeight="1">
      <c r="A99" s="1894" t="s">
        <v>114</v>
      </c>
      <c r="B99" s="1895"/>
      <c r="C99" s="1895"/>
      <c r="D99" s="1895"/>
      <c r="E99" s="1896"/>
      <c r="F99" s="908" t="s">
        <v>115</v>
      </c>
      <c r="G99" s="2000" t="s">
        <v>250</v>
      </c>
      <c r="H99" s="2001"/>
      <c r="I99" s="739"/>
      <c r="J99" s="1894" t="s">
        <v>114</v>
      </c>
      <c r="K99" s="1895"/>
      <c r="L99" s="1896"/>
      <c r="M99" s="1310" t="s">
        <v>115</v>
      </c>
      <c r="N99" s="2000" t="s">
        <v>250</v>
      </c>
      <c r="O99" s="1895"/>
      <c r="P99" s="2001"/>
      <c r="Q99" s="739"/>
      <c r="R99" s="1086" t="s">
        <v>146</v>
      </c>
      <c r="S99" s="1100">
        <f>U98</f>
        <v>0.4</v>
      </c>
      <c r="T99" s="1101" t="s">
        <v>56</v>
      </c>
      <c r="U99" s="1379">
        <v>0.1</v>
      </c>
      <c r="V99" s="1380" t="s">
        <v>420</v>
      </c>
      <c r="W99" s="1381"/>
      <c r="X99" s="1382"/>
      <c r="Y99" s="1370"/>
      <c r="Z99" s="42"/>
      <c r="AA99" s="43"/>
      <c r="AB99" s="43"/>
      <c r="AC99" s="43"/>
      <c r="AD99" s="43"/>
      <c r="AE99" s="43"/>
      <c r="AF99" s="43"/>
    </row>
    <row r="100" spans="1:32">
      <c r="A100" s="1890" t="s">
        <v>140</v>
      </c>
      <c r="B100" s="2014"/>
      <c r="C100" s="2014"/>
      <c r="D100" s="1891"/>
      <c r="E100" s="909" t="s">
        <v>686</v>
      </c>
      <c r="F100" s="910">
        <f>IF(M11="",'Parameter tables'!F11,IF(M11="a",'Parameter tables'!L6,IF(M11="b",'Parameter tables'!L7,IF(M11="c",'Parameter tables'!L8,IF(M11="d",'Parameter tables'!L9,IF(M11="e",'Parameter tables'!L10,IF(M11="f",'Parameter tables'!L11,IF(M11="g",'Parameter tables'!L12,IF(M11="h",'Parameter tables'!L13,IF(M11="i",'Parameter tables'!L14,""))))))))))</f>
        <v>100</v>
      </c>
      <c r="G100" s="878" t="str">
        <f>IF(M11="","MPa","MPa")</f>
        <v>MPa</v>
      </c>
      <c r="H100" s="911" t="str">
        <f>IF(M11="",'Parameter tables'!A11,IF(M11="a",'Parameter tables'!A6,IF(M11="b",'Parameter tables'!A7,IF(M11="c",'Parameter tables'!A8,IF(M11="d",'Parameter tables'!A9,IF(M11="e",'Parameter tables'!A10,IF(M11="f",'Parameter tables'!A11,IF(M11="g",'Parameter tables'!A12,IF(M11="h",'Parameter tables'!A13,IF(M11="i",'Parameter tables'!A14,""))))))))))</f>
        <v>medium</v>
      </c>
      <c r="I100" s="739"/>
      <c r="J100" s="2101" t="s">
        <v>329</v>
      </c>
      <c r="K100" s="2103"/>
      <c r="L100" s="769" t="s">
        <v>143</v>
      </c>
      <c r="M100" s="912">
        <f>IF(L3="",M60,L3)</f>
        <v>10</v>
      </c>
      <c r="N100" s="1311" t="str">
        <f>IF(L3="","assumed (no input given)","")</f>
        <v>assumed (no input given)</v>
      </c>
      <c r="O100" s="782"/>
      <c r="P100" s="783"/>
      <c r="Q100" s="907"/>
      <c r="R100" s="1089" t="s">
        <v>146</v>
      </c>
      <c r="S100" s="1102">
        <f>U99</f>
        <v>0.1</v>
      </c>
      <c r="T100" s="1103" t="s">
        <v>56</v>
      </c>
      <c r="U100" s="1383">
        <v>0.01</v>
      </c>
      <c r="V100" s="1384" t="s">
        <v>423</v>
      </c>
      <c r="W100" s="1385"/>
      <c r="X100" s="1386"/>
      <c r="Y100" s="1374"/>
      <c r="Z100" s="42"/>
      <c r="AA100" s="43"/>
      <c r="AB100" s="43"/>
      <c r="AC100" s="43"/>
      <c r="AD100" s="46"/>
      <c r="AE100" s="43"/>
      <c r="AF100" s="43"/>
    </row>
    <row r="101" spans="1:32" ht="13.5" customHeight="1">
      <c r="A101" s="1884" t="s">
        <v>133</v>
      </c>
      <c r="B101" s="1910"/>
      <c r="C101" s="1910"/>
      <c r="D101" s="1885"/>
      <c r="E101" s="769" t="s">
        <v>60</v>
      </c>
      <c r="F101" s="913">
        <f>IF(M21="",1.25,IF(M21="a",'Parameter tables'!L88,IF(M21="b",'Parameter tables'!L89,IF(M21="c",'Parameter tables'!L90,IF(M21="d",'Parameter tables'!L91,IF(M21="e",'Parameter tables'!L92,IF(M21="f",'Parameter tables'!L93,IF(M21="g",'Parameter tables'!L94,""))))))))</f>
        <v>1.25</v>
      </c>
      <c r="G101" s="914"/>
      <c r="H101" s="915"/>
      <c r="I101" s="739"/>
      <c r="J101" s="2105" t="s">
        <v>330</v>
      </c>
      <c r="K101" s="2106"/>
      <c r="L101" s="788" t="s">
        <v>144</v>
      </c>
      <c r="M101" s="916">
        <f>IF(N3="",4,N3)</f>
        <v>4</v>
      </c>
      <c r="N101" s="917" t="str">
        <f>IF(N3="","assumed (no input given)","")</f>
        <v>assumed (no input given)</v>
      </c>
      <c r="O101" s="787"/>
      <c r="P101" s="768"/>
      <c r="Q101" s="918"/>
      <c r="R101" s="42"/>
      <c r="S101" s="638"/>
      <c r="T101" s="42"/>
      <c r="U101" s="42"/>
      <c r="V101" s="42"/>
      <c r="W101" s="42"/>
      <c r="X101" s="42"/>
      <c r="Y101" s="42"/>
      <c r="Z101" s="42"/>
      <c r="AA101" s="43"/>
      <c r="AB101" s="43"/>
      <c r="AC101" s="43"/>
      <c r="AD101" s="43"/>
      <c r="AE101" s="43"/>
      <c r="AF101" s="43"/>
    </row>
    <row r="102" spans="1:32" ht="14.25" customHeight="1">
      <c r="A102" s="1911"/>
      <c r="B102" s="1912"/>
      <c r="C102" s="1912"/>
      <c r="D102" s="1949"/>
      <c r="E102" s="772" t="s">
        <v>67</v>
      </c>
      <c r="F102" s="919">
        <f>IF(M22="",1.4,IF(M22="a",'Parameter tables'!L96,IF(M22="b",'Parameter tables'!L97,IF(M22="c",'Parameter tables'!L98,IF(M22="d",'Parameter tables'!L99,IF(M22="e",'Parameter tables'!L100,IF(M22="f",'Parameter tables'!L101,"")))))))</f>
        <v>1.4</v>
      </c>
      <c r="G102" s="920"/>
      <c r="H102" s="921"/>
      <c r="I102" s="739"/>
      <c r="J102" s="1884" t="s">
        <v>506</v>
      </c>
      <c r="K102" s="1885"/>
      <c r="L102" s="830" t="s">
        <v>687</v>
      </c>
      <c r="M102" s="1314" t="str">
        <f>IF(F113="","",M100/F113)</f>
        <v/>
      </c>
      <c r="N102" s="922"/>
      <c r="O102" s="922"/>
      <c r="P102" s="783"/>
      <c r="Q102" s="918"/>
      <c r="R102" s="905" t="s">
        <v>176</v>
      </c>
      <c r="S102" s="1094"/>
      <c r="T102" s="763"/>
      <c r="U102" s="43"/>
      <c r="V102" s="50"/>
      <c r="W102" s="50"/>
      <c r="X102" s="50"/>
      <c r="Y102" s="47"/>
      <c r="Z102" s="47"/>
      <c r="AA102" s="47"/>
      <c r="AB102" s="48"/>
      <c r="AC102" s="43"/>
      <c r="AD102" s="43"/>
      <c r="AE102" s="43"/>
      <c r="AF102" s="43"/>
    </row>
    <row r="103" spans="1:32" ht="13.9" customHeight="1">
      <c r="A103" s="1886"/>
      <c r="B103" s="1913"/>
      <c r="C103" s="1913"/>
      <c r="D103" s="1887"/>
      <c r="E103" s="923" t="s">
        <v>688</v>
      </c>
      <c r="F103" s="825">
        <f>IF(OR(M23="i",M23="k",M23="m",M23="o"),1,F101*F102)</f>
        <v>1.75</v>
      </c>
      <c r="G103" s="924" t="str">
        <f>IF(AND(E75=1,M23&lt;&gt;""),"for filled joints, Jr = 1","")</f>
        <v/>
      </c>
      <c r="H103" s="925"/>
      <c r="I103" s="739"/>
      <c r="J103" s="1886"/>
      <c r="K103" s="1887"/>
      <c r="L103" s="798" t="s">
        <v>689</v>
      </c>
      <c r="M103" s="1329" t="str">
        <f>IF(F113="","",M101/F113)</f>
        <v/>
      </c>
      <c r="N103" s="917"/>
      <c r="O103" s="787"/>
      <c r="P103" s="768"/>
      <c r="Q103" s="926"/>
      <c r="R103" s="1105"/>
      <c r="S103" s="1084" t="s">
        <v>255</v>
      </c>
      <c r="T103" s="1085" t="s">
        <v>159</v>
      </c>
      <c r="U103" s="1352">
        <v>4</v>
      </c>
      <c r="V103" s="1366" t="s">
        <v>429</v>
      </c>
      <c r="W103" s="1367"/>
      <c r="X103" s="1368"/>
      <c r="Y103" s="1387"/>
      <c r="Z103" s="49"/>
      <c r="AA103" s="48"/>
      <c r="AB103" s="48"/>
      <c r="AC103" s="50"/>
      <c r="AD103" s="43"/>
      <c r="AE103" s="43"/>
      <c r="AF103" s="43"/>
    </row>
    <row r="104" spans="1:32" ht="14.25" customHeight="1">
      <c r="A104" s="1884" t="s">
        <v>132</v>
      </c>
      <c r="B104" s="1910"/>
      <c r="C104" s="1910"/>
      <c r="D104" s="1885"/>
      <c r="E104" s="927" t="s">
        <v>74</v>
      </c>
      <c r="F104" s="757">
        <f>IF(AND(M23="",M24=""),1,IF(M23="a",'Parameter tables'!L104,IF(M23="b",'Parameter tables'!L105,IF(M23="c",'Parameter tables'!L106,IF(M23="d",'Parameter tables'!L107,IF(M23="e",'Parameter tables'!L108,IF(M23="f",'Parameter tables'!L109,"")))))))</f>
        <v>1</v>
      </c>
      <c r="G104" s="928" t="str">
        <f>IF(M24&lt;&gt;"","",IF(M23="",'Parameter tables'!A105,IF(M23="a",'Parameter tables'!A104,IF(M23="b",'Parameter tables'!A105,IF(M23="c",'Parameter tables'!A106,IF(M23="d",'Parameter tables'!A107,IF(M23="e",'Parameter tables'!A108,IF(M23="f",'Parameter tables'!A109,""))))))))</f>
        <v>fresh joints/no filling</v>
      </c>
      <c r="H104" s="759"/>
      <c r="I104" s="739"/>
      <c r="J104" s="1994" t="s">
        <v>137</v>
      </c>
      <c r="K104" s="1995"/>
      <c r="L104" s="929" t="s">
        <v>103</v>
      </c>
      <c r="M104" s="930">
        <f>IF(M27="",'Parameter tables'!L137,IF(M27="a",'Parameter tables'!L137,IF(M27="b",'Parameter tables'!L137,IF(M27="c",'Parameter tables'!L137,IF(M27="d",'Parameter tables'!L140,IF(M27="e",'Parameter tables'!L141,IF(M27="f",'Parameter tables'!L142,IF(M27="g",'Parameter tables'!L143,"?"))))))))</f>
        <v>1</v>
      </c>
      <c r="N104" s="931"/>
      <c r="O104" s="932"/>
      <c r="P104" s="933"/>
      <c r="Q104" s="934"/>
      <c r="R104" s="1086" t="s">
        <v>177</v>
      </c>
      <c r="S104" s="1087">
        <f>U103</f>
        <v>4</v>
      </c>
      <c r="T104" s="1088" t="s">
        <v>135</v>
      </c>
      <c r="U104" s="1357">
        <v>10</v>
      </c>
      <c r="V104" s="1388" t="s">
        <v>352</v>
      </c>
      <c r="W104" s="1389"/>
      <c r="X104" s="1390"/>
      <c r="Y104" s="1391"/>
      <c r="Z104" s="49"/>
      <c r="AA104" s="48"/>
      <c r="AB104" s="48"/>
      <c r="AC104" s="50"/>
      <c r="AD104" s="43"/>
      <c r="AE104" s="43"/>
      <c r="AF104" s="43"/>
    </row>
    <row r="105" spans="1:32">
      <c r="A105" s="1911"/>
      <c r="B105" s="1912"/>
      <c r="C105" s="1912"/>
      <c r="D105" s="1949"/>
      <c r="E105" s="927"/>
      <c r="F105" s="773" t="str">
        <f>IF(M24="","",IF(M24="h",'Parameter tables'!L112,IF(M24="j",'Parameter tables'!L113,IF(M24="l",'Parameter tables'!L114,IF(M24="n",'Parameter tables'!L115,"")))))</f>
        <v/>
      </c>
      <c r="G105" s="935" t="str">
        <f>IF(M24="","",IF(M24="h",'Parameter tables'!A112,IF(M24="j",'Parameter tables'!A113,IF(M24="l",'Parameter tables'!A114,IF(M24="n",'Parameter tables'!A116,"")))))</f>
        <v/>
      </c>
      <c r="H105" s="861" t="str">
        <f>IF(F105="","","filling &lt; 5mm")</f>
        <v/>
      </c>
      <c r="I105" s="739"/>
      <c r="J105" s="1888" t="s">
        <v>127</v>
      </c>
      <c r="K105" s="1889"/>
      <c r="L105" s="936" t="s">
        <v>107</v>
      </c>
      <c r="M105" s="937">
        <f>IF(M28="",'Parameter tables'!L150,IF(M28="a",'Parameter tables'!L148,IF(M28="b",'Parameter tables'!L149,IF(M28="c",'Parameter tables'!L150,IF(M28="d",'Parameter tables'!L151,IF(M28="e",'Parameter tables'!M153,IF(M28="f",'Parameter tables'!M154,IF(M28="g",'Parameter tables'!M155,1))))))))</f>
        <v>1</v>
      </c>
      <c r="N105" s="938" t="s">
        <v>640</v>
      </c>
      <c r="O105" s="938"/>
      <c r="P105" s="939"/>
      <c r="Q105" s="934"/>
      <c r="R105" s="1086" t="s">
        <v>177</v>
      </c>
      <c r="S105" s="1087">
        <f>U104</f>
        <v>10</v>
      </c>
      <c r="T105" s="1088" t="s">
        <v>135</v>
      </c>
      <c r="U105" s="1357">
        <v>40</v>
      </c>
      <c r="V105" s="1389" t="s">
        <v>178</v>
      </c>
      <c r="W105" s="1389"/>
      <c r="X105" s="1390"/>
      <c r="Y105" s="1392"/>
      <c r="Z105" s="49"/>
      <c r="AA105" s="48"/>
      <c r="AB105" s="48"/>
      <c r="AC105" s="50"/>
      <c r="AD105" s="43"/>
      <c r="AE105" s="43"/>
      <c r="AF105" s="43"/>
    </row>
    <row r="106" spans="1:32" ht="13.9" customHeight="1">
      <c r="A106" s="1911"/>
      <c r="B106" s="1912"/>
      <c r="C106" s="1912"/>
      <c r="D106" s="1949"/>
      <c r="E106" s="940"/>
      <c r="F106" s="773" t="str">
        <f>IF(M24="","",IF(M24="i",'Parameter tables'!M112,IF(M24="k",'Parameter tables'!M113,IF(M24="m",'Parameter tables'!M114,IF(M24="o",'Parameter tables'!M115,IF(M24="o",'Parameter tables'!M115,""))))))</f>
        <v/>
      </c>
      <c r="G106" s="935" t="str">
        <f>IF(M24="","",IF(M24="i",'Parameter tables'!A112,IF(M24="k",'Parameter tables'!A113,IF(M24="m",'Parameter tables'!A114,IF(M24="o",'Parameter tables'!A116,"")))))</f>
        <v/>
      </c>
      <c r="H106" s="861" t="str">
        <f>IF(F106="","","filling &gt; 5mm")</f>
        <v/>
      </c>
      <c r="I106" s="739"/>
      <c r="J106" s="1890"/>
      <c r="K106" s="1891"/>
      <c r="L106" s="788" t="s">
        <v>690</v>
      </c>
      <c r="M106" s="1329" t="str">
        <f>IF(M28&lt;&gt;"d","",IF(AND(M28="d",M101&gt;20),'Parameter tables'!U152,IF(AND(M28="d",M101&gt;10),'Parameter tables'!S152,'Parameter tables'!Q152)))</f>
        <v/>
      </c>
      <c r="N106" s="917" t="s">
        <v>325</v>
      </c>
      <c r="O106" s="787"/>
      <c r="P106" s="768"/>
      <c r="Q106" s="934"/>
      <c r="R106" s="1086" t="s">
        <v>177</v>
      </c>
      <c r="S106" s="1087">
        <f>U105</f>
        <v>40</v>
      </c>
      <c r="T106" s="1088" t="s">
        <v>135</v>
      </c>
      <c r="U106" s="1357">
        <v>100</v>
      </c>
      <c r="V106" s="1388" t="s">
        <v>353</v>
      </c>
      <c r="W106" s="1389"/>
      <c r="X106" s="1390"/>
      <c r="Y106" s="1392"/>
      <c r="Z106" s="49"/>
      <c r="AA106" s="48"/>
      <c r="AB106" s="48"/>
      <c r="AC106" s="50"/>
      <c r="AD106" s="43"/>
      <c r="AE106" s="43"/>
      <c r="AF106" s="43"/>
    </row>
    <row r="107" spans="1:32" ht="12.75" customHeight="1">
      <c r="A107" s="1886"/>
      <c r="B107" s="1913"/>
      <c r="C107" s="1913"/>
      <c r="D107" s="1887"/>
      <c r="E107" s="941" t="s">
        <v>691</v>
      </c>
      <c r="F107" s="942">
        <f>SUM(F104:F106)</f>
        <v>1</v>
      </c>
      <c r="G107" s="2107" t="str">
        <f>IF(G104&lt;&gt;"",G104,IF(G105&lt;&gt;"",G105,IF(G106&lt;&gt;"",G106,"?")))</f>
        <v>fresh joints/no filling</v>
      </c>
      <c r="H107" s="2108"/>
      <c r="I107" s="943"/>
      <c r="J107" s="1996" t="s">
        <v>12</v>
      </c>
      <c r="K107" s="1997"/>
      <c r="L107" s="923" t="s">
        <v>692</v>
      </c>
      <c r="M107" s="1342">
        <f>IF(M18&lt;&gt;"",P107,IF(F112&gt;'Parameter tables'!O69,'Parameter tables'!L69,IF(F112&gt;'Parameter tables'!O70,'Parameter tables'!L70,IF(F112&gt;'Parameter tables'!O71,'Parameter tables'!L71,IF(F112&gt;'Parameter tables'!O72,'Parameter tables'!L72,IF(F112&gt;'Parameter tables'!O73,'Parameter tables'!L73,IF(F112&gt;'Parameter tables'!O74,'Parameter tables'!L74,IF(F112&gt;'Parameter tables'!O75,'Parameter tables'!L75,'Parameter tables'!L76))))))))</f>
        <v>6</v>
      </c>
      <c r="N107" s="944"/>
      <c r="O107" s="945" t="str">
        <f>IF(P107="","","from Nj input =")</f>
        <v/>
      </c>
      <c r="P107" s="946" t="str">
        <f>IF(M18="","",IF(M18="a",'Parameter tables'!L69,IF(M18="b",'Parameter tables'!L70,IF(M18="c",'Parameter tables'!L71,IF(M18="d",'Parameter tables'!L72,IF(M18="e",'Parameter tables'!L73,IF(M18="f",'Parameter tables'!L74,IF(M18="g",'Parameter tables'!L75,IF(M18="h",'Parameter tables'!L76,IF(M18="i",'Parameter tables'!L77,""))))))))))</f>
        <v/>
      </c>
      <c r="Q107" s="947"/>
      <c r="R107" s="1086" t="s">
        <v>177</v>
      </c>
      <c r="S107" s="1087">
        <f>U106</f>
        <v>100</v>
      </c>
      <c r="T107" s="1088" t="s">
        <v>135</v>
      </c>
      <c r="U107" s="1357">
        <v>400</v>
      </c>
      <c r="V107" s="1388" t="s">
        <v>486</v>
      </c>
      <c r="W107" s="1389"/>
      <c r="X107" s="1390"/>
      <c r="Y107" s="1392"/>
      <c r="Z107" s="49"/>
      <c r="AA107" s="48"/>
      <c r="AB107" s="48"/>
      <c r="AC107" s="50"/>
      <c r="AD107" s="43"/>
      <c r="AE107" s="43"/>
      <c r="AF107" s="43"/>
    </row>
    <row r="108" spans="1:32" ht="12.75" customHeight="1">
      <c r="A108" s="2101" t="s">
        <v>447</v>
      </c>
      <c r="B108" s="2102"/>
      <c r="C108" s="2102"/>
      <c r="D108" s="2103"/>
      <c r="E108" s="940" t="s">
        <v>79</v>
      </c>
      <c r="F108" s="948">
        <f>IF(M25="",1,IF(M25="a",'Parameter tables'!L120,IF(M25="b",'Parameter tables'!L121,IF(M25="c",'Parameter tables'!L122,IF(M25="d",'Parameter tables'!L123,IF(M25="e",'Parameter tables'!L124,IF(M25="f",'Parameter tables'!L125,IF(M25="g",'Parameter tables'!L126,"?"))))))))</f>
        <v>1</v>
      </c>
      <c r="G108" s="949" t="str">
        <f>IF(M25="",'Parameter tables'!A124,IF(M25="a",'Parameter tables'!A120,IF(M25="b",'Parameter tables'!A121,IF(M25="c",'Parameter tables'!A122,IF(M25="d",'Parameter tables'!A123,IF(M25="e",'Parameter tables'!A124,IF(M25="f",'Parameter tables'!A125,IF(M25="g",'Parameter tables'!A126,"?"))))))))</f>
        <v>3-10 m joint</v>
      </c>
      <c r="H108" s="922"/>
      <c r="I108" s="943"/>
      <c r="J108" s="1950" t="s">
        <v>128</v>
      </c>
      <c r="K108" s="1952"/>
      <c r="L108" s="950" t="s">
        <v>693</v>
      </c>
      <c r="M108" s="1341">
        <f>IF(M19="",'Parameter tables'!L81,IF(M19="a",'Parameter tables'!L80,IF(M19="b",'Parameter tables'!L81,IF(M19="c",'Parameter tables'!L82,IF(M19="d",'Parameter tables'!L83,IF(M19="e",'Parameter tables'!L84,"?"))))))</f>
        <v>1</v>
      </c>
      <c r="N108" s="951" t="str">
        <f>IF(M19="",'Parameter tables'!A81,IF(M19="a",'Parameter tables'!A80,IF(M19="b",'Parameter tables'!A81,IF(M19="c",'Parameter tables'!A82,IF(M19="d",'Parameter tables'!A83,IF(M19="e",'Parameter tables'!A84,"?"))))))</f>
        <v>favourable</v>
      </c>
      <c r="O108" s="952" t="s">
        <v>694</v>
      </c>
      <c r="P108" s="953">
        <f>IF(M20="",'Parameter tables'!L81,IF(M20="a",'Parameter tables'!L80,IF(M20="b",'Parameter tables'!L81,IF(M20="c",'Parameter tables'!L82,IF(M20="d",'Parameter tables'!L83,IF(M20="e",'Parameter tables'!L84,"?"))))))</f>
        <v>1</v>
      </c>
      <c r="Q108" s="954" t="str">
        <f>IF(M20="",'Parameter tables'!A81,IF(M20="a",'Parameter tables'!A80,IF(M20="b",'Parameter tables'!A81,IF(M20="c",'Parameter tables'!A82,IF(M20="d",'Parameter tables'!A83,IF(M20="e",'Parameter tables'!A84,"?"))))))</f>
        <v>favourable</v>
      </c>
      <c r="R108" s="1106"/>
      <c r="S108" s="1090" t="s">
        <v>255</v>
      </c>
      <c r="T108" s="1091" t="s">
        <v>158</v>
      </c>
      <c r="U108" s="1104">
        <f>U107</f>
        <v>400</v>
      </c>
      <c r="V108" s="1393" t="s">
        <v>490</v>
      </c>
      <c r="W108" s="1394"/>
      <c r="X108" s="1395"/>
      <c r="Y108" s="1396"/>
      <c r="Z108" s="51"/>
      <c r="AA108" s="48"/>
      <c r="AB108" s="50"/>
      <c r="AC108" s="50"/>
      <c r="AD108" s="43"/>
      <c r="AE108" s="43"/>
      <c r="AF108" s="43"/>
    </row>
    <row r="109" spans="1:32" ht="12.75" customHeight="1">
      <c r="A109" s="1890" t="s">
        <v>448</v>
      </c>
      <c r="B109" s="2014"/>
      <c r="C109" s="2014"/>
      <c r="D109" s="1891"/>
      <c r="E109" s="923" t="s">
        <v>444</v>
      </c>
      <c r="F109" s="942">
        <f>F103*F108/F107</f>
        <v>1.75</v>
      </c>
      <c r="G109" s="955"/>
      <c r="H109" s="956"/>
      <c r="I109" s="957"/>
      <c r="J109" s="1950" t="s">
        <v>453</v>
      </c>
      <c r="K109" s="1952"/>
      <c r="L109" s="818" t="s">
        <v>695</v>
      </c>
      <c r="M109" s="958" t="str">
        <f>IF(M12="","",IF(F114&gt;F115,F115*F100,F114*F100*F116))</f>
        <v/>
      </c>
      <c r="N109" s="959" t="str">
        <f>IF(M109="","",IF(M109&gt;U87,V87,IF(M109&gt;U88,V88,IF(M109&gt;U89,V89,IF(M109&gt;U90,V90,IF(M109&gt;U91,V91,V92))))))</f>
        <v/>
      </c>
      <c r="O109" s="960"/>
      <c r="P109" s="961"/>
      <c r="Q109" s="898"/>
      <c r="R109" s="52"/>
      <c r="S109" s="633"/>
      <c r="T109" s="52"/>
      <c r="U109" s="52"/>
      <c r="V109" s="52"/>
      <c r="W109" s="52"/>
      <c r="X109" s="52"/>
      <c r="Y109" s="52"/>
      <c r="Z109" s="52"/>
      <c r="AA109" s="43"/>
      <c r="AB109" s="43"/>
      <c r="AC109" s="43"/>
      <c r="AD109" s="43"/>
      <c r="AE109" s="43"/>
      <c r="AF109" s="43"/>
    </row>
    <row r="110" spans="1:32" ht="14.25" customHeight="1">
      <c r="A110" s="1994" t="s">
        <v>449</v>
      </c>
      <c r="B110" s="2040"/>
      <c r="C110" s="2040"/>
      <c r="D110" s="1995"/>
      <c r="E110" s="962" t="s">
        <v>603</v>
      </c>
      <c r="F110" s="963">
        <f>IF(M17="",'Parameter tables'!M64,IF(M17="a",'Parameter tables'!M63,IF(M17="b",'Parameter tables'!M64,IF(M17="c",'Parameter tables'!M65,IF(M17="d",'Parameter tables'!M66,IF(M17="e",'Parameter tables'!M67,"?"))))))</f>
        <v>34</v>
      </c>
      <c r="G110" s="1130" t="str">
        <f>IF(F110&lt;31,"cubical blocks",IF(F110&lt;39,"slightly long or flat",IF(F110&lt;61,"mod. long or flat",IF(F110&lt;151,"very long or flat",IF(F110&gt;150,"extr. long or flat","?")))))</f>
        <v>slightly long or flat</v>
      </c>
      <c r="H110" s="821"/>
      <c r="I110" s="739"/>
      <c r="J110" s="964" t="s">
        <v>1055</v>
      </c>
      <c r="K110" s="965"/>
      <c r="L110" s="965"/>
      <c r="M110" s="965"/>
      <c r="N110" s="965"/>
      <c r="O110" s="966"/>
      <c r="P110" s="966"/>
      <c r="Q110" s="898"/>
      <c r="R110" s="905" t="s">
        <v>726</v>
      </c>
      <c r="S110" s="1108"/>
      <c r="T110" s="896"/>
      <c r="U110" s="456"/>
      <c r="V110" s="496"/>
      <c r="W110" s="496"/>
      <c r="X110" s="496"/>
      <c r="Y110" s="43"/>
      <c r="Z110" s="52"/>
      <c r="AA110" s="43"/>
      <c r="AB110" s="43"/>
      <c r="AC110" s="43"/>
      <c r="AD110" s="43"/>
      <c r="AE110" s="43"/>
      <c r="AF110" s="43"/>
    </row>
    <row r="111" spans="1:32" ht="14.25" customHeight="1">
      <c r="A111" s="1888" t="s">
        <v>696</v>
      </c>
      <c r="B111" s="2104"/>
      <c r="C111" s="2104"/>
      <c r="D111" s="1889"/>
      <c r="E111" s="793" t="s">
        <v>120</v>
      </c>
      <c r="F111" s="913" t="str">
        <f>IF(M12="","",IF(M12="a",'Parameter tables'!L37,IF(M12="b",'Parameter tables'!L38,IF(M12="c",'Parameter tables'!L39,IF(M12="d",'Parameter tables'!L40,IF(M12="e",'Parameter tables'!L41,IF(M12="f",'Parameter tables'!L42,"")))))))</f>
        <v/>
      </c>
      <c r="G111" s="967" t="str">
        <f>IF(H111="","","m³    from DJ =")</f>
        <v/>
      </c>
      <c r="H111" s="968" t="str">
        <f>IF(F111&lt;0.01,F111*1000,"")</f>
        <v/>
      </c>
      <c r="I111" s="969"/>
      <c r="J111" s="970"/>
      <c r="K111" s="971"/>
      <c r="L111" s="972" t="s">
        <v>503</v>
      </c>
      <c r="M111" s="973" t="s">
        <v>532</v>
      </c>
      <c r="N111" s="974"/>
      <c r="O111" s="975"/>
      <c r="P111" s="976"/>
      <c r="Q111" s="934"/>
      <c r="R111" s="1105"/>
      <c r="S111" s="1084" t="s">
        <v>311</v>
      </c>
      <c r="T111" s="1085" t="s">
        <v>158</v>
      </c>
      <c r="U111" s="1111">
        <f>U112</f>
        <v>100</v>
      </c>
      <c r="V111" s="1366" t="s">
        <v>430</v>
      </c>
      <c r="W111" s="1367"/>
      <c r="X111" s="1368"/>
      <c r="Y111" s="1397"/>
      <c r="Z111" s="52"/>
      <c r="AA111" s="43"/>
      <c r="AB111" s="43"/>
      <c r="AC111" s="43"/>
      <c r="AD111" s="43"/>
      <c r="AE111" s="43"/>
      <c r="AF111" s="43"/>
    </row>
    <row r="112" spans="1:32" ht="14.25" customHeight="1">
      <c r="A112" s="1890"/>
      <c r="B112" s="2014"/>
      <c r="C112" s="2014"/>
      <c r="D112" s="1891"/>
      <c r="E112" s="788" t="s">
        <v>697</v>
      </c>
      <c r="F112" s="910" t="str">
        <f>IF(H112&lt;&gt;"",H112/1000,F111)</f>
        <v/>
      </c>
      <c r="G112" s="977" t="str">
        <f>IF(M15&lt;&gt;"","m³            =",IF(M16&lt;&gt;"","m³           =",""))</f>
        <v/>
      </c>
      <c r="H112" s="978" t="str">
        <f>IF(M15&lt;&gt;"",M15,IF(M16&lt;&gt;"",(F110*M16^-3)*1000,""))</f>
        <v/>
      </c>
      <c r="I112" s="739"/>
      <c r="J112" s="1884" t="s">
        <v>324</v>
      </c>
      <c r="K112" s="979" t="s">
        <v>698</v>
      </c>
      <c r="L112" s="980" t="str">
        <f>IF(M109="","",M109*M105/M104)</f>
        <v/>
      </c>
      <c r="M112" s="980" t="str">
        <f>IF(F139="","",F139*1/F134)</f>
        <v/>
      </c>
      <c r="N112" s="981" t="str">
        <f>IF(OR(L112="",N104="overstressed"),"",IF(L112&gt;$U$95,$V$95,IF(L112&gt;$U$96,$V$96,IF(L112&gt;$U$97,$V$97,IF(L112&gt;$U$98,$V$98,IF(L112&gt;$U$99,$V$99,$V$100))))))</f>
        <v/>
      </c>
      <c r="O112" s="982" t="str">
        <f>IF(OR(M112="",O104="overstressed"),"",IF(M112&gt;$U$95,$V$95,IF(M112&gt;$U$96,$V$96,IF(M112&gt;$U$97,$V$97,IF(M112&gt;$U$98,$V$98,IF(M112&gt;$U$99,$V$99,$V$100))))))</f>
        <v/>
      </c>
      <c r="P112" s="939"/>
      <c r="Q112" s="983"/>
      <c r="R112" s="1086" t="s">
        <v>120</v>
      </c>
      <c r="S112" s="1087">
        <f>U113</f>
        <v>30</v>
      </c>
      <c r="T112" s="1088" t="s">
        <v>77</v>
      </c>
      <c r="U112" s="1357">
        <v>100</v>
      </c>
      <c r="V112" s="1388" t="s">
        <v>431</v>
      </c>
      <c r="W112" s="1389"/>
      <c r="X112" s="1390"/>
      <c r="Y112" s="1398"/>
      <c r="AA112" s="43"/>
      <c r="AB112" s="43"/>
      <c r="AC112" s="43"/>
      <c r="AD112" s="43"/>
      <c r="AE112" s="43"/>
      <c r="AF112" s="43"/>
    </row>
    <row r="113" spans="1:32" ht="14.25" customHeight="1">
      <c r="A113" s="1950" t="s">
        <v>528</v>
      </c>
      <c r="B113" s="1951"/>
      <c r="C113" s="1951"/>
      <c r="D113" s="1952"/>
      <c r="E113" s="984" t="s">
        <v>445</v>
      </c>
      <c r="F113" s="985" t="str">
        <f>IF(F111="","",F110*(F112^0.3333)/'Parameter tables'!M63)</f>
        <v/>
      </c>
      <c r="G113" s="986" t="s">
        <v>126</v>
      </c>
      <c r="H113" s="821"/>
      <c r="I113" s="987"/>
      <c r="J113" s="1911"/>
      <c r="K113" s="979" t="s">
        <v>699</v>
      </c>
      <c r="L113" s="2085" t="str">
        <f>IF(O$44="",L112,M112)</f>
        <v/>
      </c>
      <c r="M113" s="2086"/>
      <c r="N113" s="988" t="str">
        <f>IF(L113="","",IF(L113&gt;$U$95,$V$95,IF(L113&gt;$U$96,$V$96,IF(L113&gt;$U$97,$V$97,IF(L113&gt;$U$98,$V$98,IF(L113&gt;$U$99,$V$99,$V$100))))))</f>
        <v/>
      </c>
      <c r="O113" s="785"/>
      <c r="P113" s="989"/>
      <c r="Q113" s="983"/>
      <c r="R113" s="1086" t="s">
        <v>120</v>
      </c>
      <c r="S113" s="1087">
        <f>U114</f>
        <v>1</v>
      </c>
      <c r="T113" s="1088" t="s">
        <v>77</v>
      </c>
      <c r="U113" s="1357">
        <v>30</v>
      </c>
      <c r="V113" s="1388" t="s">
        <v>432</v>
      </c>
      <c r="W113" s="1389"/>
      <c r="X113" s="1390"/>
      <c r="Y113" s="1398"/>
      <c r="AA113" s="43"/>
      <c r="AB113" s="43"/>
      <c r="AC113" s="43"/>
      <c r="AD113" s="43"/>
      <c r="AE113" s="43"/>
      <c r="AF113" s="43"/>
    </row>
    <row r="114" spans="1:32" ht="14.25" customHeight="1">
      <c r="A114" s="2037" t="s">
        <v>450</v>
      </c>
      <c r="B114" s="2038"/>
      <c r="C114" s="2038"/>
      <c r="D114" s="2039"/>
      <c r="E114" s="1750" t="s">
        <v>446</v>
      </c>
      <c r="F114" s="1751" t="str">
        <f>IF(F111="","",0.2*SQRT(F109)*F112^(0.37*(F109)^-0.2))</f>
        <v/>
      </c>
      <c r="G114" s="1752"/>
      <c r="H114" s="915"/>
      <c r="I114" s="739"/>
      <c r="J114" s="1911"/>
      <c r="K114" s="979" t="s">
        <v>700</v>
      </c>
      <c r="L114" s="980" t="str">
        <f>IF(M109="","",IF(M28="d",5*M109*M106/M104,5*M109*M105/M104))</f>
        <v/>
      </c>
      <c r="M114" s="980" t="str">
        <f>IF(F139="","",IF(M28="d",5*F139*1/M104,5*F139*1/F134))</f>
        <v/>
      </c>
      <c r="N114" s="990" t="str">
        <f>IF(OR(L114="",N104="overstressed"),"",IF(L114&gt;$U$95,$V$95,IF(L114&gt;$U$96,$V$96,IF(L114&gt;$U$97,$V$97,IF(L114&gt;$U$98,$V$98,IF(L114&gt;$U$99,$V$99,$V$100))))))</f>
        <v/>
      </c>
      <c r="O114" s="988" t="str">
        <f>IF(OR(M114="",O104="overstressed"),"",IF(M114&gt;$U$95,$V$95,IF(M114&gt;$U$96,$V$96,IF(M114&gt;$U$97,$V$97,IF(M114&gt;$U$98,$V$98,IF(M114&gt;$U$99,$V$99,$V$100))))))</f>
        <v/>
      </c>
      <c r="P114" s="762"/>
      <c r="Q114" s="983"/>
      <c r="R114" s="1086" t="s">
        <v>120</v>
      </c>
      <c r="S114" s="1087">
        <f>U115</f>
        <v>0.03</v>
      </c>
      <c r="T114" s="1088" t="s">
        <v>77</v>
      </c>
      <c r="U114" s="1357">
        <v>1</v>
      </c>
      <c r="V114" s="1388" t="s">
        <v>433</v>
      </c>
      <c r="W114" s="1389"/>
      <c r="X114" s="1390"/>
      <c r="Y114" s="1398"/>
      <c r="AA114" s="43"/>
      <c r="AB114" s="43"/>
      <c r="AC114" s="43"/>
      <c r="AD114" s="43"/>
      <c r="AE114" s="43"/>
      <c r="AF114" s="43"/>
    </row>
    <row r="115" spans="1:32" ht="14.25" customHeight="1">
      <c r="A115" s="1890" t="s">
        <v>451</v>
      </c>
      <c r="B115" s="2014"/>
      <c r="C115" s="2014"/>
      <c r="D115" s="1891"/>
      <c r="E115" s="1749" t="s">
        <v>1010</v>
      </c>
      <c r="F115" s="991" t="str">
        <f>IF(F111="","",IF(F111=0,"Vb =?",(0.05/F113)^0.2))</f>
        <v/>
      </c>
      <c r="G115" s="992"/>
      <c r="H115" s="802"/>
      <c r="I115" s="739"/>
      <c r="J115" s="1886"/>
      <c r="K115" s="923" t="s">
        <v>701</v>
      </c>
      <c r="L115" s="2085" t="str">
        <f>IF(O$44="",L114,M114)</f>
        <v/>
      </c>
      <c r="M115" s="2086"/>
      <c r="N115" s="1327" t="str">
        <f>IF(L115="","",IF(L115&gt;$U$95,$V$95,IF(L115&gt;$U$96,$V$96,IF(L115&gt;$U$97,$V$97,IF(L115&gt;$U$98,$V$98,IF(L115&gt;$U$99,$V$99,$V$100))))))</f>
        <v/>
      </c>
      <c r="O115" s="779"/>
      <c r="P115" s="993"/>
      <c r="Q115" s="983"/>
      <c r="R115" s="1087" t="s">
        <v>120</v>
      </c>
      <c r="S115" s="1087">
        <f>U116</f>
        <v>1E-3</v>
      </c>
      <c r="T115" s="1088" t="s">
        <v>77</v>
      </c>
      <c r="U115" s="1357">
        <v>0.03</v>
      </c>
      <c r="V115" s="1388" t="s">
        <v>434</v>
      </c>
      <c r="W115" s="1389"/>
      <c r="X115" s="1390"/>
      <c r="Y115" s="1398"/>
      <c r="AA115" s="43"/>
      <c r="AB115" s="43"/>
      <c r="AC115" s="43"/>
      <c r="AD115" s="43"/>
      <c r="AE115" s="43"/>
      <c r="AF115" s="43"/>
    </row>
    <row r="116" spans="1:32" ht="14.25" customHeight="1">
      <c r="A116" s="1994" t="s">
        <v>452</v>
      </c>
      <c r="B116" s="2040"/>
      <c r="C116" s="2040"/>
      <c r="D116" s="1995"/>
      <c r="E116" s="818" t="s">
        <v>212</v>
      </c>
      <c r="F116" s="1513" t="e">
        <f>'Parameter tables'!#REF!</f>
        <v>#REF!</v>
      </c>
      <c r="G116" s="994"/>
      <c r="H116" s="854"/>
      <c r="I116" s="739"/>
      <c r="J116" s="1565" t="s">
        <v>136</v>
      </c>
      <c r="K116" s="936" t="s">
        <v>702</v>
      </c>
      <c r="L116" s="980" t="str">
        <f>IF(M109="","",M100/F$113*M108/M$107)</f>
        <v/>
      </c>
      <c r="M116" s="980" t="str">
        <f>IF(F$139="","",IF(F135="no",F131/H126*F132/F127,M100/H126*F132/F127))</f>
        <v/>
      </c>
      <c r="N116" s="981" t="str">
        <f>IF(OR(L116="",L116="overstressed"),"",IF(L116&lt;$U$103,$V$103,IF(L116&lt;$U$104,$V$104,IF(L116&lt;$U$105,$V$105,IF(L116&lt;$U$106,$V$106,IF(L116&lt;$U$107,$V$107,$V$108))))))</f>
        <v/>
      </c>
      <c r="O116" s="995"/>
      <c r="P116" s="996" t="str">
        <f>IF(OR(M116="",M116="overstressed"),"",IF(M116&lt;$U$103,$V$103,IF(M116&lt;$U$104,$V$104,IF(M116&lt;$U$105,$V$105,IF(M116&lt;$U$106,$V$106,IF(M116&lt;$U$107,$V$107,$V$108))))))</f>
        <v/>
      </c>
      <c r="Q116" s="983"/>
      <c r="R116" s="1087" t="s">
        <v>120</v>
      </c>
      <c r="S116" s="1109">
        <f>U117</f>
        <v>1.0000000000000001E-5</v>
      </c>
      <c r="T116" s="1088" t="s">
        <v>77</v>
      </c>
      <c r="U116" s="1357">
        <v>1E-3</v>
      </c>
      <c r="V116" s="1388" t="s">
        <v>435</v>
      </c>
      <c r="W116" s="1389"/>
      <c r="X116" s="1390"/>
      <c r="Y116" s="1398"/>
      <c r="AA116" s="43"/>
      <c r="AB116" s="43"/>
      <c r="AC116" s="43"/>
      <c r="AD116" s="43"/>
      <c r="AE116" s="43"/>
      <c r="AF116" s="43"/>
    </row>
    <row r="117" spans="1:32" ht="14.25" customHeight="1">
      <c r="A117" s="1739" t="s">
        <v>832</v>
      </c>
      <c r="B117" s="1692"/>
      <c r="C117" s="1692"/>
      <c r="D117" s="1692"/>
      <c r="E117" s="1692"/>
      <c r="F117" s="1693"/>
      <c r="G117" s="1694"/>
      <c r="H117" s="1741"/>
      <c r="I117" s="739"/>
      <c r="J117" s="1566"/>
      <c r="K117" s="979" t="s">
        <v>703</v>
      </c>
      <c r="L117" s="1563" t="str">
        <f>IF(O$44="",L116,M116)</f>
        <v/>
      </c>
      <c r="M117" s="1564"/>
      <c r="N117" s="982" t="str">
        <f>IF(OR(L117="",L117="overstressed"),"",IF(L117&lt;$U$103,$V$103,IF(L117&lt;$U$104,$V$104,IF(L117&lt;$U$105,$V$105,IF(L117&lt;U106,$V$106,IF(L117&lt;$U$107,$V$107,$V$108))))))</f>
        <v/>
      </c>
      <c r="O117" s="997"/>
      <c r="P117" s="989"/>
      <c r="Q117" s="983"/>
      <c r="R117" s="1732"/>
      <c r="S117" s="1090" t="s">
        <v>311</v>
      </c>
      <c r="T117" s="1110" t="s">
        <v>287</v>
      </c>
      <c r="U117" s="1373">
        <v>1.0000000000000001E-5</v>
      </c>
      <c r="V117" s="1399" t="s">
        <v>436</v>
      </c>
      <c r="W117" s="1400"/>
      <c r="X117" s="1373"/>
      <c r="Y117" s="1401"/>
      <c r="AA117" s="43"/>
      <c r="AB117" s="43"/>
      <c r="AC117" s="43"/>
      <c r="AD117" s="43"/>
      <c r="AE117" s="43"/>
      <c r="AF117" s="43"/>
    </row>
    <row r="118" spans="1:32" ht="14.25" customHeight="1">
      <c r="A118" s="1740" t="s">
        <v>985</v>
      </c>
      <c r="B118" s="1695"/>
      <c r="C118" s="1692"/>
      <c r="D118" s="1692"/>
      <c r="E118" s="1696" t="s">
        <v>833</v>
      </c>
      <c r="F118" s="1697" t="str">
        <f>IF(M12="","",F114^2)</f>
        <v/>
      </c>
      <c r="G118" s="1698" t="s">
        <v>998</v>
      </c>
      <c r="H118" s="1699"/>
      <c r="I118" s="739"/>
      <c r="J118" s="1566"/>
      <c r="K118" s="979" t="s">
        <v>704</v>
      </c>
      <c r="L118" s="980" t="str">
        <f>IF(M$109="","",IF(F136="no",F131/F113*P108/M$107,M101/F113*P108/M$107))</f>
        <v/>
      </c>
      <c r="M118" s="980" t="str">
        <f>IF(F$139="","",IF(F136="no",F131/H126*F133/F127,M101/H126*F133/F127))</f>
        <v/>
      </c>
      <c r="N118" s="990" t="str">
        <f>IF(OR(L118="",L118="overstressed"),"",IF(L118&lt;$U$103,$V$103,IF(L118&lt;$U$104,$V$104,IF(L118&lt;$U$105,$V$105,IF(L118&lt;$U$106,$V$106,IF(L118&lt;$U$107,$V$107,$V$108))))))</f>
        <v/>
      </c>
      <c r="O118" s="995"/>
      <c r="P118" s="1000" t="str">
        <f>IF(OR(M118="",M118="overstressed"),"",IF(M118&lt;$U$103,$V$103,IF(M118&lt;$U$104,$V$104,IF(M118&lt;$U$105,$V$105,IF(M118&lt;$U$106,$V$106,IF(M118&lt;$U$107,$V$107,$V$108))))))</f>
        <v/>
      </c>
      <c r="Q118" s="1729"/>
      <c r="R118" s="897"/>
      <c r="S118" s="1730"/>
      <c r="T118" s="1731"/>
      <c r="U118" s="1733"/>
      <c r="V118" s="1734"/>
      <c r="W118" s="1734"/>
      <c r="X118" s="1735"/>
      <c r="Y118" s="1736"/>
      <c r="AA118" s="43"/>
      <c r="AB118" s="43"/>
      <c r="AC118" s="43"/>
      <c r="AD118" s="43"/>
      <c r="AE118" s="43"/>
      <c r="AF118" s="43"/>
    </row>
    <row r="119" spans="1:32" ht="14.25" customHeight="1">
      <c r="A119" s="1723" t="s">
        <v>999</v>
      </c>
      <c r="B119" s="1700"/>
      <c r="C119" s="1701"/>
      <c r="D119" s="1701"/>
      <c r="E119" s="1702" t="s">
        <v>1000</v>
      </c>
      <c r="F119" s="1697" t="str">
        <f>IF(M12="","",N29*F114^0.64)</f>
        <v/>
      </c>
      <c r="G119" s="1698"/>
      <c r="H119" s="1699"/>
      <c r="I119" s="739"/>
      <c r="J119" s="1567"/>
      <c r="K119" s="923" t="s">
        <v>705</v>
      </c>
      <c r="L119" s="1563" t="str">
        <f>IF(O$44="",L118,M118)</f>
        <v/>
      </c>
      <c r="M119" s="1564"/>
      <c r="N119" s="1005" t="str">
        <f>IF(OR(L119="",L119="overstressed"),"",IF(L119&lt;$U$103,$V$103,IF(L119&lt;$U$104,$V$104,IF(L119&lt;$U$105,$V$105,IF(L119&lt;$U$106,$V$106,IF(L119&lt;$U$107,$V$107,$V$108))))))</f>
        <v/>
      </c>
      <c r="O119" s="1006"/>
      <c r="P119" s="1007"/>
      <c r="Q119" s="1729"/>
      <c r="R119" s="897"/>
      <c r="S119" s="1730"/>
      <c r="T119" s="1731"/>
      <c r="U119" s="1733"/>
      <c r="V119" s="1734"/>
      <c r="W119" s="1734"/>
      <c r="X119" s="1735"/>
      <c r="Y119" s="1736"/>
      <c r="AA119" s="43"/>
      <c r="AB119" s="43"/>
      <c r="AC119" s="43"/>
      <c r="AD119" s="43"/>
      <c r="AE119" s="43"/>
      <c r="AF119" s="43"/>
    </row>
    <row r="120" spans="1:32" ht="14.25" customHeight="1">
      <c r="A120" s="1723" t="s">
        <v>1001</v>
      </c>
      <c r="B120" s="1700"/>
      <c r="C120" s="1701"/>
      <c r="D120" s="1701"/>
      <c r="E120" s="1702" t="s">
        <v>1000</v>
      </c>
      <c r="F120" s="1697" t="str">
        <f>IF(M12="","",N29*F114^0.857)</f>
        <v/>
      </c>
      <c r="G120" s="1698"/>
      <c r="H120" s="1699"/>
      <c r="I120" s="739"/>
      <c r="J120" s="2095" t="s">
        <v>750</v>
      </c>
      <c r="K120" s="2096"/>
      <c r="L120" s="1858" t="str">
        <f>IF(OR(M31="f",M31="g",M31="h"),"Weak zone may need further evaluations",IF(M31="i","Zones with soft filling are poorly covered by RMi",IF(M23="o","Filling of swelling clay is not included in RMi","")))</f>
        <v/>
      </c>
      <c r="M120" s="1046"/>
      <c r="N120" s="1046"/>
      <c r="O120" s="1046"/>
      <c r="P120" s="1047"/>
      <c r="Q120" s="1729"/>
      <c r="R120" s="510" t="s">
        <v>749</v>
      </c>
      <c r="S120" s="1831" t="s">
        <v>1029</v>
      </c>
      <c r="T120" s="1140"/>
      <c r="U120" s="371"/>
      <c r="V120" s="371"/>
      <c r="W120" s="371"/>
      <c r="X120" s="371"/>
      <c r="Y120" s="1736"/>
      <c r="AA120" s="43"/>
      <c r="AB120" s="43"/>
      <c r="AC120" s="43"/>
      <c r="AD120" s="43"/>
      <c r="AE120" s="43"/>
      <c r="AF120" s="43"/>
    </row>
    <row r="121" spans="1:32" ht="14.25" customHeight="1">
      <c r="A121" s="1724" t="s">
        <v>839</v>
      </c>
      <c r="B121" s="1712"/>
      <c r="C121" s="1713"/>
      <c r="D121" s="1713"/>
      <c r="E121" s="1794" t="s">
        <v>838</v>
      </c>
      <c r="F121" s="1714" t="str">
        <f xml:space="preserve"> IF(M12="","",1+16*(F119*N30+F118*F100)/(3*F100*F119^2))</f>
        <v/>
      </c>
      <c r="G121" s="1795" t="s">
        <v>838</v>
      </c>
      <c r="H121" s="1793" t="str">
        <f xml:space="preserve"> IF(M12="","",1+16*(F120*N30+F118*F100)/(3*F100*F120^2))</f>
        <v/>
      </c>
      <c r="I121" s="739"/>
      <c r="J121" s="2097"/>
      <c r="K121" s="2098"/>
      <c r="L121" s="1048" t="str">
        <f>IF(L113="","",IF(OR(L113&lt;0.01,L117&lt;L113^-1.3,L117&gt;600),"Beyond the limit of RMi support method",""))</f>
        <v/>
      </c>
      <c r="M121" s="1048"/>
      <c r="N121" s="1048"/>
      <c r="O121" s="1048"/>
      <c r="P121" s="1049"/>
      <c r="Q121" s="1729"/>
      <c r="R121" s="897"/>
      <c r="S121" s="1730"/>
      <c r="T121" s="1731"/>
      <c r="U121" s="1733"/>
      <c r="V121" s="1734"/>
      <c r="W121" s="1734"/>
      <c r="X121" s="1735"/>
      <c r="Y121" s="1736"/>
      <c r="AA121" s="43"/>
      <c r="AB121" s="43"/>
      <c r="AC121" s="43"/>
      <c r="AD121" s="43"/>
      <c r="AE121" s="43"/>
      <c r="AF121" s="43"/>
    </row>
    <row r="122" spans="1:32" ht="14.25" customHeight="1">
      <c r="A122" s="1742"/>
      <c r="B122" s="1742"/>
      <c r="C122" s="1742"/>
      <c r="D122" s="1742"/>
      <c r="E122" s="1737"/>
      <c r="F122" s="1792" t="s">
        <v>988</v>
      </c>
      <c r="G122" s="1738"/>
      <c r="H122" s="1792" t="s">
        <v>989</v>
      </c>
      <c r="I122" s="739"/>
      <c r="J122" s="2097"/>
      <c r="K122" s="2098"/>
      <c r="L122" s="1050" t="str">
        <f>IF(AND(M28="e",F100&lt;G62),"Rock bursting takes place in brittle, hard rock",IF(AND(M28="f",F100&lt;G62),"Rock bursting takes place in brittle, hard rock",IF(AND(M28="g",F100&lt;G62),"Rock bursting takes place in brittle, hard rock",IF(OR(M28="h",M28="i"),"Squeezing is not included in the RMi system",""))))</f>
        <v/>
      </c>
      <c r="M122" s="1575"/>
      <c r="N122" s="1575"/>
      <c r="O122" s="1575"/>
      <c r="P122" s="1576"/>
      <c r="Q122" s="1729"/>
      <c r="R122" s="897"/>
      <c r="S122" s="1730"/>
      <c r="T122" s="1731"/>
      <c r="U122" s="1733"/>
      <c r="V122" s="1734"/>
      <c r="W122" s="1734"/>
      <c r="X122" s="1735"/>
      <c r="Y122" s="1736"/>
      <c r="AA122" s="43"/>
      <c r="AB122" s="43"/>
      <c r="AC122" s="43"/>
      <c r="AD122" s="43"/>
      <c r="AE122" s="43"/>
      <c r="AF122" s="43"/>
    </row>
    <row r="123" spans="1:32" ht="14.25" customHeight="1">
      <c r="A123" s="738"/>
      <c r="B123" s="998" t="s">
        <v>986</v>
      </c>
      <c r="C123" s="999"/>
      <c r="D123" s="999"/>
      <c r="E123" s="999"/>
      <c r="F123" s="999"/>
      <c r="G123" s="999"/>
      <c r="H123" s="999"/>
      <c r="I123" s="739"/>
      <c r="J123" s="2097"/>
      <c r="K123" s="2098"/>
      <c r="L123" s="1144" t="str">
        <f>IF(OR(M28="e",M28="f",M28="g"),"Support of bursting is for span &lt; 15 m","")</f>
        <v/>
      </c>
      <c r="M123" s="1575"/>
      <c r="N123" s="1575"/>
      <c r="O123" s="1575"/>
      <c r="P123" s="1576"/>
      <c r="Q123" s="1729"/>
      <c r="R123" s="897"/>
      <c r="S123" s="1730"/>
      <c r="T123" s="1731"/>
      <c r="U123" s="1733"/>
      <c r="V123" s="1734"/>
      <c r="W123" s="1734"/>
      <c r="X123" s="1735"/>
      <c r="Y123" s="1736"/>
      <c r="AA123" s="43"/>
      <c r="AB123" s="43"/>
      <c r="AC123" s="43"/>
      <c r="AD123" s="43"/>
      <c r="AE123" s="43"/>
      <c r="AF123" s="43"/>
    </row>
    <row r="124" spans="1:32" ht="15" customHeight="1">
      <c r="A124" s="1584" t="s">
        <v>535</v>
      </c>
      <c r="B124" s="1585"/>
      <c r="C124" s="1585"/>
      <c r="D124" s="1586"/>
      <c r="E124" s="1002" t="s">
        <v>361</v>
      </c>
      <c r="F124" s="1003" t="str">
        <f>IF(M33="",N33,M33)</f>
        <v/>
      </c>
      <c r="G124" s="1004" t="s">
        <v>536</v>
      </c>
      <c r="H124" s="1748" t="str">
        <f>IF(M31="","",IF(M33&lt;&gt;"",M33,IF(M31="f",'Parameter tables'!R162,IF(M31="g",'Parameter tables'!R163,IF(M31="h",'Parameter tables'!R164,IF(M31="i",'Parameter tables'!R165,""))))))</f>
        <v/>
      </c>
      <c r="I124" s="739"/>
      <c r="J124" s="2097"/>
      <c r="K124" s="2098"/>
      <c r="L124" s="1575" t="str">
        <f>IF(OR(M27="d",M27="e"),"Water inflow: Use of shotcrete may be difficult",IF(OR(M27="f",M27="g"),"Large inflows are not covered by the RMi support system",IF(OR(M38="o",M24="o"),"Swelling rock and swelling clay fillings are not included in the RMI system","")))</f>
        <v/>
      </c>
      <c r="M124" s="1575"/>
      <c r="N124" s="1575"/>
      <c r="O124" s="1575"/>
      <c r="P124" s="1576"/>
      <c r="Q124" s="1729"/>
      <c r="R124" s="33"/>
      <c r="S124" s="33"/>
      <c r="T124" s="8"/>
      <c r="U124" s="8"/>
      <c r="V124" s="8"/>
      <c r="W124" s="8"/>
      <c r="X124" s="8"/>
      <c r="Y124" s="8"/>
      <c r="Z124" s="52"/>
      <c r="AA124" s="43"/>
      <c r="AB124" s="43"/>
      <c r="AC124" s="43"/>
      <c r="AD124" s="43"/>
      <c r="AE124" s="43"/>
      <c r="AF124" s="43"/>
    </row>
    <row r="125" spans="1:32" ht="14.25" customHeight="1">
      <c r="A125" s="1587" t="s">
        <v>520</v>
      </c>
      <c r="B125" s="1588"/>
      <c r="C125" s="1588"/>
      <c r="D125" s="1589"/>
      <c r="E125" s="793" t="s">
        <v>706</v>
      </c>
      <c r="F125" s="1008" t="e">
        <f>IF(M35="",M150*1000,M35)</f>
        <v>#VALUE!</v>
      </c>
      <c r="G125" s="914" t="s">
        <v>761</v>
      </c>
      <c r="H125" s="1009" t="e">
        <f>IF(F125="","",F125/1000)</f>
        <v>#VALUE!</v>
      </c>
      <c r="I125" s="739"/>
      <c r="J125" s="2097"/>
      <c r="K125" s="2098"/>
      <c r="L125" s="1575"/>
      <c r="M125" s="1575"/>
      <c r="N125" s="1575"/>
      <c r="O125" s="1575"/>
      <c r="P125" s="1576"/>
      <c r="Q125" s="1001"/>
      <c r="R125" s="33"/>
      <c r="S125" s="33"/>
      <c r="T125" s="8"/>
      <c r="U125" s="8"/>
      <c r="V125" s="8"/>
      <c r="W125" s="8"/>
      <c r="X125" s="8"/>
      <c r="Y125" s="8"/>
      <c r="Z125" s="52"/>
      <c r="AA125" s="43"/>
      <c r="AB125" s="43"/>
      <c r="AC125" s="43"/>
      <c r="AD125" s="43"/>
      <c r="AE125" s="43"/>
      <c r="AF125" s="43"/>
    </row>
    <row r="126" spans="1:32" ht="15" customHeight="1" thickBot="1">
      <c r="A126" s="1590" t="s">
        <v>521</v>
      </c>
      <c r="B126" s="1591"/>
      <c r="C126" s="1591"/>
      <c r="D126" s="1592"/>
      <c r="E126" s="1010" t="s">
        <v>707</v>
      </c>
      <c r="F126" s="1011" t="e">
        <f>IF(F125="","",F125^0.333)</f>
        <v>#VALUE!</v>
      </c>
      <c r="G126" s="1012" t="s">
        <v>522</v>
      </c>
      <c r="H126" s="1145" t="e">
        <f>IF(F126="","",F126/10)</f>
        <v>#VALUE!</v>
      </c>
      <c r="I126" s="739"/>
      <c r="J126" s="2099"/>
      <c r="K126" s="2100"/>
      <c r="L126" s="1727"/>
      <c r="M126" s="1727"/>
      <c r="N126" s="1727"/>
      <c r="O126" s="1727"/>
      <c r="P126" s="1728"/>
      <c r="Q126" s="1001"/>
      <c r="Y126" s="418"/>
      <c r="Z126" s="484"/>
      <c r="AA126" s="484"/>
      <c r="AB126" s="484"/>
      <c r="AC126" s="484"/>
      <c r="AD126" s="43"/>
      <c r="AE126" s="43"/>
      <c r="AF126" s="43"/>
    </row>
    <row r="127" spans="1:32" ht="14.25" customHeight="1" thickTop="1">
      <c r="A127" s="1584" t="s">
        <v>12</v>
      </c>
      <c r="B127" s="1585"/>
      <c r="C127" s="1585"/>
      <c r="D127" s="1586"/>
      <c r="E127" s="1013" t="s">
        <v>708</v>
      </c>
      <c r="F127" s="991" t="e">
        <f>IF(F125="","",IF(H125&gt;'Parameter tables'!O69,'Parameter tables'!L69,IF(H125&gt;'Parameter tables'!O70,'Parameter tables'!L70,IF(H125&gt;'Parameter tables'!O71,'Parameter tables'!L71,IF(H125&gt;'Parameter tables'!O72,'Parameter tables'!L72,IF(H125&gt;'Parameter tables'!O73,'Parameter tables'!L73,IF(H125&gt;'Parameter tables'!O74,'Parameter tables'!L74,IF(H125&gt;'Parameter tables'!O75,'Parameter tables'!L75,'Parameter tables'!L76))))))))</f>
        <v>#VALUE!</v>
      </c>
      <c r="G127" s="1014"/>
      <c r="H127" s="844"/>
      <c r="I127" s="739"/>
      <c r="J127" s="1691" t="s">
        <v>987</v>
      </c>
      <c r="K127" s="1692"/>
      <c r="L127" s="1692"/>
      <c r="M127" s="1692"/>
      <c r="N127" s="1692"/>
      <c r="O127" s="1725"/>
      <c r="P127" s="1726"/>
      <c r="R127" s="405"/>
      <c r="S127" s="500"/>
      <c r="T127" s="688"/>
      <c r="U127" s="689"/>
      <c r="V127" s="14"/>
      <c r="W127" s="14"/>
      <c r="X127" s="272"/>
      <c r="Y127" s="690"/>
      <c r="Z127" s="272"/>
      <c r="AA127" s="515"/>
      <c r="AB127" s="514"/>
      <c r="AC127" s="691"/>
      <c r="AD127" s="43"/>
      <c r="AE127" s="43"/>
      <c r="AF127" s="43"/>
    </row>
    <row r="128" spans="1:32" ht="14.25" customHeight="1">
      <c r="A128" s="1581" t="s">
        <v>523</v>
      </c>
      <c r="B128" s="1582"/>
      <c r="C128" s="1582"/>
      <c r="D128" s="1583"/>
      <c r="E128" s="1015" t="s">
        <v>709</v>
      </c>
      <c r="F128" s="948" t="str">
        <f>IF(M31="","",IF(M38="",'Parameter tables'!L107,IF(M38="b",'Parameter tables'!L105,IF(M38="c",'Parameter tables'!L106,IF(M38="e",'Parameter tables'!L108,IF(M38="f",'Parameter tables'!L109,IF(M38="i",'Parameter tables'!M112,IF(M38="m",'Parameter tables'!M114,IF(M38="o",'Parameter tables'!M115,"")))))))))</f>
        <v/>
      </c>
      <c r="G128" s="928" t="str">
        <f>IF(M31="","",IF(M38="",'Parameter tables'!A107,IF(M38="b",'Parameter tables'!A105,IF(M38="d",'Parameter tables'!A107,IF(M38="f",'Parameter tables'!A109,IF(M38="i",'Parameter tables'!A112,IF(M38="m",'Parameter tables'!A114,IF(M38="o",'Parameter tables'!A116,""))))))))</f>
        <v/>
      </c>
      <c r="H128" s="1016"/>
      <c r="I128" s="739"/>
      <c r="J128" s="1721" t="s">
        <v>985</v>
      </c>
      <c r="K128" s="1700"/>
      <c r="L128" s="1703" t="s">
        <v>833</v>
      </c>
      <c r="M128" s="1704" t="str">
        <f>IF(M31="","",F130^2)</f>
        <v/>
      </c>
      <c r="N128" s="1705" t="s">
        <v>1002</v>
      </c>
      <c r="O128" s="1711"/>
      <c r="P128" s="1706"/>
      <c r="R128" s="272"/>
      <c r="S128" s="500"/>
      <c r="T128" s="688"/>
      <c r="U128" s="689"/>
      <c r="V128" s="692"/>
      <c r="W128" s="692"/>
      <c r="X128" s="272"/>
      <c r="Y128" s="690"/>
      <c r="Z128" s="515"/>
      <c r="AA128" s="272"/>
      <c r="AB128" s="514"/>
      <c r="AC128" s="691"/>
      <c r="AD128" s="43"/>
      <c r="AE128" s="43"/>
      <c r="AF128" s="43"/>
    </row>
    <row r="129" spans="1:32" ht="15">
      <c r="A129" s="1569" t="s">
        <v>519</v>
      </c>
      <c r="B129" s="1570"/>
      <c r="C129" s="1570"/>
      <c r="D129" s="1571"/>
      <c r="E129" s="1010" t="s">
        <v>710</v>
      </c>
      <c r="F129" s="985" t="str">
        <f>IF(F128="","",1/F128)</f>
        <v/>
      </c>
      <c r="G129" s="1017"/>
      <c r="H129" s="1018"/>
      <c r="I129" s="957"/>
      <c r="J129" s="1722" t="s">
        <v>1003</v>
      </c>
      <c r="K129" s="1700"/>
      <c r="L129" s="1707" t="s">
        <v>1004</v>
      </c>
      <c r="M129" s="1704" t="str">
        <f>IF(M31="","",M40*F130^0.64)</f>
        <v/>
      </c>
      <c r="N129" s="1708"/>
      <c r="O129" s="1711"/>
      <c r="P129" s="1706"/>
      <c r="R129" s="9"/>
      <c r="S129" s="500"/>
      <c r="T129" s="688"/>
      <c r="U129" s="689"/>
      <c r="V129" s="14"/>
      <c r="W129" s="14"/>
      <c r="X129" s="272"/>
      <c r="Y129" s="690"/>
      <c r="Z129" s="272"/>
      <c r="AA129" s="515"/>
      <c r="AB129" s="514"/>
      <c r="AC129" s="691"/>
      <c r="AD129" s="43"/>
      <c r="AE129" s="43"/>
      <c r="AF129" s="43"/>
    </row>
    <row r="130" spans="1:32" ht="15" customHeight="1">
      <c r="A130" s="1578" t="s">
        <v>836</v>
      </c>
      <c r="B130" s="1579"/>
      <c r="C130" s="1579"/>
      <c r="D130" s="1580"/>
      <c r="E130" s="1539" t="s">
        <v>837</v>
      </c>
      <c r="F130" s="991" t="e">
        <f>0.2*SQRT(F129)*M150^(0.37*(F129)^-0.2)</f>
        <v>#VALUE!</v>
      </c>
      <c r="G130" s="1540"/>
      <c r="H130" s="1018"/>
      <c r="I130" s="739"/>
      <c r="J130" s="1723" t="s">
        <v>1005</v>
      </c>
      <c r="K130" s="1700"/>
      <c r="L130" s="1709" t="s">
        <v>1004</v>
      </c>
      <c r="M130" s="1710" t="str">
        <f>IF(M31="","",M40*F130^0.857)</f>
        <v/>
      </c>
      <c r="N130" s="1711"/>
      <c r="O130" s="1711"/>
      <c r="P130" s="1706"/>
      <c r="R130" s="272"/>
      <c r="S130" s="500"/>
      <c r="T130" s="688"/>
      <c r="U130" s="689"/>
      <c r="V130" s="692"/>
      <c r="W130" s="692"/>
      <c r="X130" s="272"/>
      <c r="Y130" s="690"/>
      <c r="Z130" s="515"/>
      <c r="AA130" s="272"/>
      <c r="AB130" s="514"/>
      <c r="AC130" s="691"/>
      <c r="AD130" s="43"/>
      <c r="AE130" s="43"/>
      <c r="AF130" s="43"/>
    </row>
    <row r="131" spans="1:32" ht="14.25" customHeight="1">
      <c r="A131" s="1743" t="s">
        <v>517</v>
      </c>
      <c r="B131" s="1744"/>
      <c r="C131" s="1744"/>
      <c r="D131" s="1745"/>
      <c r="E131" s="1019" t="s">
        <v>138</v>
      </c>
      <c r="F131" s="963" t="str">
        <f>IF(M31="","",IF(M34="",G60,IF(M34&lt;&gt;"",M34)))</f>
        <v/>
      </c>
      <c r="G131" s="1020" t="s">
        <v>126</v>
      </c>
      <c r="H131" s="1021"/>
      <c r="I131" s="739"/>
      <c r="J131" s="1724" t="s">
        <v>839</v>
      </c>
      <c r="K131" s="1712"/>
      <c r="L131" s="1797" t="s">
        <v>838</v>
      </c>
      <c r="M131" s="1714" t="str">
        <f xml:space="preserve"> IF(M31="","",1+16*(M129*N41+M128*F124)/(3*F124*M129^2))</f>
        <v/>
      </c>
      <c r="N131" s="1798" t="s">
        <v>838</v>
      </c>
      <c r="O131" s="1867" t="str">
        <f xml:space="preserve"> IF(M31="","",1+16*(M130*N41+M128*F124)/(3*F124*M130^2))</f>
        <v/>
      </c>
      <c r="P131" s="1868"/>
      <c r="R131" s="9"/>
      <c r="S131" s="500"/>
      <c r="T131" s="501"/>
      <c r="U131" s="689"/>
      <c r="V131" s="14"/>
      <c r="W131" s="14"/>
      <c r="X131" s="272"/>
      <c r="Y131" s="690"/>
      <c r="Z131" s="272"/>
      <c r="AA131" s="515"/>
      <c r="AB131" s="514"/>
      <c r="AC131" s="691"/>
      <c r="AE131" s="50"/>
      <c r="AF131" s="43"/>
    </row>
    <row r="132" spans="1:32" ht="14.25" customHeight="1">
      <c r="A132" s="1746" t="s">
        <v>139</v>
      </c>
      <c r="B132" s="1747"/>
      <c r="C132" s="1747"/>
      <c r="D132" s="1022" t="s">
        <v>504</v>
      </c>
      <c r="E132" s="1023" t="s">
        <v>711</v>
      </c>
      <c r="F132" s="948" t="str">
        <f>IF(F131="","",IF(M36="",'Parameter tables'!L172,IF(M36="a",'Parameter tables'!L80,IF(M36="b",'Parameter tables'!L81,IF(M36="c",'Parameter tables'!L82,IF(M36="d",'Parameter tables'!L83,IF(M36="e",'Parameter tables'!L84,"?")))))))</f>
        <v/>
      </c>
      <c r="G132" s="1024" t="str">
        <f>IF(F131="","",IF(M36="",'Parameter tables'!A172,IF(M36="a",'Parameter tables'!A80,IF(M36="b",'Parameter tables'!A81,IF(M36="c",'Parameter tables'!A82,IF(M36="d",'Parameter tables'!A83,IF(M36="e",'Parameter tables'!A84,"?")))))))</f>
        <v/>
      </c>
      <c r="H132" s="1025"/>
      <c r="I132" s="739"/>
      <c r="M132" s="1799" t="s">
        <v>988</v>
      </c>
      <c r="N132" s="1800"/>
      <c r="O132" s="1866" t="s">
        <v>989</v>
      </c>
      <c r="P132" s="1866"/>
      <c r="Q132" s="1796"/>
      <c r="R132" s="9"/>
      <c r="S132" s="500"/>
      <c r="T132" s="501"/>
      <c r="U132" s="689"/>
      <c r="V132" s="14"/>
      <c r="W132" s="14"/>
      <c r="X132" s="272"/>
      <c r="Y132" s="690"/>
      <c r="Z132" s="272"/>
      <c r="AA132" s="515"/>
      <c r="AB132" s="514"/>
      <c r="AC132" s="691"/>
      <c r="AE132" s="50"/>
      <c r="AF132" s="43"/>
    </row>
    <row r="133" spans="1:32" ht="13.9" customHeight="1">
      <c r="A133" s="1572"/>
      <c r="B133" s="1573"/>
      <c r="C133" s="1573"/>
      <c r="D133" s="798" t="s">
        <v>505</v>
      </c>
      <c r="E133" s="1026" t="s">
        <v>711</v>
      </c>
      <c r="F133" s="985" t="str">
        <f>IF(F131="","",IF(M37="",'Parameter tables'!L172,IF(M37="a",'Parameter tables'!L81,IF(M37="b",'Parameter tables'!L82,IF(M37="c",'Parameter tables'!L83,IF(M37="d",'Parameter tables'!L84,IF(M37="e",'Parameter tables'!L85,"?")))))))</f>
        <v/>
      </c>
      <c r="G133" s="1568" t="str">
        <f>IF(F131="","",IF(M37="",'Parameter tables'!A172,IF(M37="a",'Parameter tables'!A80,IF(M37="b",'Parameter tables'!A81,IF(M37="c",'Parameter tables'!A82,IF(M37="d",'Parameter tables'!A83,IF(M37="e",'Parameter tables'!A84,"?")))))))</f>
        <v/>
      </c>
      <c r="H133" s="844"/>
      <c r="I133" s="739"/>
      <c r="J133" s="894" t="s">
        <v>1011</v>
      </c>
      <c r="Q133" s="412"/>
      <c r="R133" s="9"/>
      <c r="S133" s="9"/>
      <c r="T133" s="9"/>
      <c r="U133" s="9"/>
      <c r="V133" s="9"/>
      <c r="W133" s="9"/>
      <c r="X133" s="9"/>
      <c r="Y133" s="335"/>
      <c r="Z133" s="272"/>
      <c r="AA133" s="515"/>
      <c r="AB133" s="514"/>
      <c r="AC133" s="691"/>
      <c r="AE133" s="50"/>
      <c r="AF133" s="43"/>
    </row>
    <row r="134" spans="1:32" ht="13.9" customHeight="1">
      <c r="A134" s="1584" t="s">
        <v>638</v>
      </c>
      <c r="B134" s="965"/>
      <c r="C134" s="965"/>
      <c r="D134" s="1027"/>
      <c r="E134" s="1002" t="s">
        <v>103</v>
      </c>
      <c r="F134" s="963">
        <f>IF(M39="",'Parameter tables'!L137,IF(M39="a",'Parameter tables'!L137,IF(M39="b",'Parameter tables'!L137,IF(M39="c",'Parameter tables'!L137,IF(M39="d",'Parameter tables'!L140,IF(M39="e",'Parameter tables'!L141,IF(M39="f",'Parameter tables'!L142,IF(M39="g",'Parameter tables'!L143,"?"))))))))</f>
        <v>1</v>
      </c>
      <c r="G134" s="1028"/>
      <c r="H134" s="1029"/>
      <c r="I134" s="739"/>
      <c r="J134" s="1884" t="s">
        <v>716</v>
      </c>
      <c r="K134" s="1885"/>
      <c r="L134" s="1051" t="s">
        <v>537</v>
      </c>
      <c r="M134" s="913" t="str">
        <f>IF(M109="","",7*M109^0.4)</f>
        <v/>
      </c>
      <c r="N134" s="1582" t="s">
        <v>717</v>
      </c>
      <c r="O134" s="1582"/>
      <c r="P134" s="1052"/>
      <c r="Q134" s="897"/>
      <c r="R134" s="1719"/>
      <c r="S134" s="9"/>
      <c r="T134" s="9"/>
      <c r="U134" s="9"/>
      <c r="V134" s="9"/>
      <c r="W134" s="9"/>
      <c r="X134" s="9"/>
      <c r="Y134" s="335"/>
      <c r="Z134" s="272"/>
      <c r="AA134" s="515"/>
      <c r="AB134" s="514"/>
      <c r="AC134" s="691"/>
      <c r="AE134" s="50"/>
      <c r="AF134" s="43"/>
    </row>
    <row r="135" spans="1:32" ht="13.9" customHeight="1">
      <c r="A135" s="2027" t="s">
        <v>168</v>
      </c>
      <c r="B135" s="2028"/>
      <c r="C135" s="2028"/>
      <c r="D135" s="2029"/>
      <c r="E135" s="913" t="s">
        <v>124</v>
      </c>
      <c r="F135" s="1562" t="str">
        <f>IF(OR(F131="-",F131="",F131=0),"-",IF(F131&gt;M100,"yes","no"))</f>
        <v>-</v>
      </c>
      <c r="G135" s="914" t="s">
        <v>122</v>
      </c>
      <c r="H135" s="939"/>
      <c r="I135" s="739"/>
      <c r="J135" s="1911"/>
      <c r="K135" s="1949"/>
      <c r="L135" s="1594" t="s">
        <v>303</v>
      </c>
      <c r="M135" s="1053" t="str">
        <f>IF(M109="","",5.6*M109^0.375)</f>
        <v/>
      </c>
      <c r="N135" s="1054" t="s">
        <v>718</v>
      </c>
      <c r="O135" s="1054"/>
      <c r="P135" s="1055"/>
      <c r="Q135" s="897"/>
      <c r="R135" s="1112"/>
      <c r="S135" s="33"/>
      <c r="T135" s="8"/>
      <c r="U135" s="8"/>
      <c r="V135" s="8"/>
      <c r="W135" s="8"/>
      <c r="X135" s="8"/>
      <c r="AD135" s="8"/>
      <c r="AE135" s="50"/>
      <c r="AF135" s="43"/>
    </row>
    <row r="136" spans="1:32" ht="13.9" customHeight="1">
      <c r="A136" s="2030"/>
      <c r="B136" s="2031"/>
      <c r="C136" s="2031"/>
      <c r="D136" s="2032"/>
      <c r="E136" s="985" t="s">
        <v>125</v>
      </c>
      <c r="F136" s="985" t="str">
        <f>IF(OR(F131="-",F131="",F131=0),"-",IF(F131&gt;M101,"yes","no"))</f>
        <v>-</v>
      </c>
      <c r="G136" s="1012" t="s">
        <v>123</v>
      </c>
      <c r="H136" s="1030"/>
      <c r="I136" s="905"/>
      <c r="J136" s="1886"/>
      <c r="K136" s="1887"/>
      <c r="L136" s="1056" t="s">
        <v>719</v>
      </c>
      <c r="M136" s="1574" t="str">
        <f>IF(M109="","",0.2*F100)</f>
        <v/>
      </c>
      <c r="N136" s="1579" t="s">
        <v>720</v>
      </c>
      <c r="O136" s="1579"/>
      <c r="P136" s="1057"/>
      <c r="Q136" s="1560"/>
      <c r="R136" s="1560"/>
      <c r="S136" s="1560"/>
      <c r="T136" s="1560"/>
      <c r="U136" s="1560"/>
      <c r="V136" s="8"/>
      <c r="W136" s="8"/>
      <c r="Y136" s="31"/>
      <c r="AA136" s="31"/>
      <c r="AB136" s="31"/>
      <c r="AC136" s="31"/>
      <c r="AE136" s="50"/>
      <c r="AF136" s="43"/>
    </row>
    <row r="137" spans="1:32" ht="13.9" customHeight="1">
      <c r="A137" s="1884" t="s">
        <v>712</v>
      </c>
      <c r="B137" s="1910"/>
      <c r="C137" s="1885"/>
      <c r="D137" s="1031"/>
      <c r="E137" s="769" t="s">
        <v>713</v>
      </c>
      <c r="F137" s="1187" t="str">
        <f>O150</f>
        <v/>
      </c>
      <c r="G137" s="1032" t="s">
        <v>540</v>
      </c>
      <c r="H137" s="1016"/>
      <c r="I137" s="905"/>
      <c r="AE137" s="50"/>
      <c r="AF137" s="43"/>
    </row>
    <row r="138" spans="1:32" ht="13.9" customHeight="1">
      <c r="A138" s="1911"/>
      <c r="B138" s="1912"/>
      <c r="C138" s="1949"/>
      <c r="D138" s="1034"/>
      <c r="E138" s="772" t="s">
        <v>714</v>
      </c>
      <c r="F138" s="1035" t="str">
        <f>IF(M31="","",IF(M109="","",10^((F131*LOG(O150)+LOG(M109))/(F131+1))))</f>
        <v/>
      </c>
      <c r="G138" s="1143" t="s">
        <v>755</v>
      </c>
      <c r="H138" s="1036"/>
      <c r="I138" s="905"/>
      <c r="V138" s="499"/>
      <c r="AE138" s="50"/>
      <c r="AF138" s="43"/>
    </row>
    <row r="139" spans="1:32" ht="13.9" customHeight="1">
      <c r="A139" s="1886"/>
      <c r="B139" s="1913"/>
      <c r="C139" s="1887"/>
      <c r="D139" s="1037"/>
      <c r="E139" s="1577" t="s">
        <v>715</v>
      </c>
      <c r="F139" s="1038" t="str">
        <f>IF(M31="","",IF(M109="",F137,F138))</f>
        <v/>
      </c>
      <c r="G139" s="1039" t="str">
        <f>IF(F139="","",IF(F139&gt;U87,V87,IF(F139&gt;U88,V88,IF(F139&gt;U89,V89,IF(F139&gt;U90,V90,IF(F139&gt;U91,V91,V92))))))</f>
        <v/>
      </c>
      <c r="H139" s="1030"/>
      <c r="I139" s="1033"/>
      <c r="Q139" s="4"/>
      <c r="AE139" s="50"/>
      <c r="AF139" s="43"/>
    </row>
    <row r="140" spans="1:32" ht="13.9" customHeight="1">
      <c r="A140" s="1593"/>
      <c r="B140" s="1593"/>
      <c r="C140" s="1593"/>
      <c r="D140" s="1004"/>
      <c r="E140" s="1720"/>
      <c r="F140" s="1541"/>
      <c r="G140" s="816"/>
      <c r="H140" s="823"/>
      <c r="I140" s="1033"/>
      <c r="Q140" s="4"/>
      <c r="AE140" s="50"/>
      <c r="AF140" s="43"/>
    </row>
    <row r="141" spans="1:32" ht="13.9" customHeight="1">
      <c r="A141" s="738"/>
      <c r="B141" s="1121" t="s">
        <v>408</v>
      </c>
      <c r="C141" s="738"/>
      <c r="D141" s="738"/>
      <c r="E141" s="4"/>
      <c r="I141" s="484"/>
      <c r="K141" s="8"/>
      <c r="L141" s="8"/>
      <c r="M141" s="8"/>
      <c r="N141" s="8"/>
      <c r="O141" s="33"/>
      <c r="P141" s="33"/>
      <c r="Q141" s="4"/>
      <c r="AE141" s="50"/>
      <c r="AF141" s="43"/>
    </row>
    <row r="142" spans="1:32" ht="13.9" customHeight="1">
      <c r="A142" s="2015" t="s">
        <v>575</v>
      </c>
      <c r="B142" s="2016"/>
      <c r="C142" s="2016"/>
      <c r="D142" s="2017"/>
      <c r="E142" s="2015" t="s">
        <v>721</v>
      </c>
      <c r="F142" s="2016"/>
      <c r="G142" s="2017"/>
      <c r="H142" s="2016" t="s">
        <v>722</v>
      </c>
      <c r="I142" s="2016"/>
      <c r="J142" s="2017"/>
      <c r="K142" s="1998" t="s">
        <v>601</v>
      </c>
      <c r="L142" s="1998"/>
      <c r="M142" s="1999"/>
      <c r="N142" s="1987" t="s">
        <v>723</v>
      </c>
      <c r="O142" s="2015" t="s">
        <v>502</v>
      </c>
      <c r="P142" s="2017"/>
      <c r="R142" s="418"/>
      <c r="S142" s="434"/>
      <c r="T142" s="434"/>
      <c r="U142" s="434"/>
      <c r="V142" s="434"/>
      <c r="W142" s="434"/>
      <c r="X142" s="8"/>
      <c r="Y142" s="484"/>
      <c r="Z142" s="484"/>
      <c r="AA142" s="484"/>
      <c r="AE142" s="50"/>
      <c r="AF142" s="43"/>
    </row>
    <row r="143" spans="1:32" ht="13.9" customHeight="1">
      <c r="A143" s="2018"/>
      <c r="B143" s="2019"/>
      <c r="C143" s="2019"/>
      <c r="D143" s="2020"/>
      <c r="E143" s="2036"/>
      <c r="F143" s="2034"/>
      <c r="G143" s="2035"/>
      <c r="H143" s="2034"/>
      <c r="I143" s="2034"/>
      <c r="J143" s="2035"/>
      <c r="K143" s="2120" t="s">
        <v>724</v>
      </c>
      <c r="L143" s="2121"/>
      <c r="M143" s="2122"/>
      <c r="N143" s="1988"/>
      <c r="O143" s="2036"/>
      <c r="P143" s="2035"/>
      <c r="R143" s="405"/>
      <c r="S143" s="500"/>
      <c r="T143" s="482"/>
      <c r="U143" s="693"/>
      <c r="V143" s="14"/>
      <c r="W143" s="14"/>
      <c r="X143" s="272"/>
      <c r="Y143" s="689"/>
      <c r="Z143" s="14"/>
      <c r="AA143" s="14"/>
      <c r="AE143" s="50"/>
      <c r="AF143" s="43"/>
    </row>
    <row r="144" spans="1:32" ht="13.9" customHeight="1">
      <c r="A144" s="2021" t="s">
        <v>600</v>
      </c>
      <c r="B144" s="2022"/>
      <c r="C144" s="2022"/>
      <c r="D144" s="2023"/>
      <c r="E144" s="1115" t="s">
        <v>727</v>
      </c>
      <c r="F144" s="1067" t="s">
        <v>257</v>
      </c>
      <c r="G144" s="1068" t="s">
        <v>501</v>
      </c>
      <c r="H144" s="1115" t="s">
        <v>727</v>
      </c>
      <c r="I144" s="1067" t="s">
        <v>257</v>
      </c>
      <c r="J144" s="1068" t="s">
        <v>501</v>
      </c>
      <c r="K144" s="1115" t="s">
        <v>727</v>
      </c>
      <c r="L144" s="1069" t="s">
        <v>518</v>
      </c>
      <c r="M144" s="1070" t="s">
        <v>501</v>
      </c>
      <c r="N144" s="1071" t="s">
        <v>126</v>
      </c>
      <c r="O144" s="2110" t="s">
        <v>725</v>
      </c>
      <c r="P144" s="2111"/>
      <c r="R144" s="405"/>
      <c r="S144" s="500"/>
      <c r="T144" s="688"/>
      <c r="U144" s="693"/>
      <c r="V144" s="14"/>
      <c r="W144" s="14"/>
      <c r="X144" s="272"/>
      <c r="Y144" s="689"/>
      <c r="Z144" s="694"/>
      <c r="AA144" s="14"/>
      <c r="AE144" s="50"/>
      <c r="AF144" s="43"/>
    </row>
    <row r="145" spans="1:35" ht="13.9" customHeight="1">
      <c r="A145" s="1058" t="s">
        <v>27</v>
      </c>
      <c r="B145" s="1059" t="str">
        <f>'Parameter tables'!O162</f>
        <v>Unknown type</v>
      </c>
      <c r="C145" s="866"/>
      <c r="D145" s="1060"/>
      <c r="E145" s="1182">
        <f>'Parameter tables'!R162</f>
        <v>50</v>
      </c>
      <c r="F145" s="773" t="str">
        <f>IF(M$31="","",IF(M$33="","",M$33))</f>
        <v/>
      </c>
      <c r="G145" s="1072" t="str">
        <f>IF(M$31&lt;&gt;"f","",IF(F145&lt;&gt;"",F145,E145))</f>
        <v/>
      </c>
      <c r="H145" s="1181">
        <f>'Parameter tables'!U162</f>
        <v>0.5</v>
      </c>
      <c r="I145" s="1074" t="str">
        <f>F129</f>
        <v/>
      </c>
      <c r="J145" s="1072" t="str">
        <f>IF(M$31&lt;&gt;"f","",IF(I145&lt;&gt;"",I145,H145))</f>
        <v/>
      </c>
      <c r="K145" s="1180">
        <f>'Parameter tables'!X162</f>
        <v>1E-3</v>
      </c>
      <c r="L145" s="757" t="str">
        <f>IF(M$35="","",M$35/1000)</f>
        <v/>
      </c>
      <c r="M145" s="1072" t="str">
        <f>IF(M$31&lt;&gt;"f","",IF(L145&lt;&gt;"",L145,K145))</f>
        <v/>
      </c>
      <c r="N145" s="1076" t="str">
        <f>IF(M31&lt;&gt;"f","",M145^0.333)</f>
        <v/>
      </c>
      <c r="O145" s="2112" t="str">
        <f>IF(M31&lt;&gt;"f","",G145*0.2*(J145^0.5)*(M145^(0.37*J145^(-0.2))))</f>
        <v/>
      </c>
      <c r="P145" s="2113"/>
      <c r="R145" s="405"/>
      <c r="S145" s="500"/>
      <c r="T145" s="688"/>
      <c r="U145" s="693"/>
      <c r="V145" s="14"/>
      <c r="W145" s="14"/>
      <c r="X145" s="272"/>
      <c r="Y145" s="689"/>
      <c r="Z145" s="694"/>
      <c r="AA145" s="14"/>
      <c r="AE145" s="43"/>
      <c r="AF145" s="43"/>
    </row>
    <row r="146" spans="1:35" ht="13.9" customHeight="1">
      <c r="A146" s="1061" t="s">
        <v>29</v>
      </c>
      <c r="B146" s="1062" t="str">
        <f>'Parameter tables'!O163</f>
        <v>Crushed zone, clay-free</v>
      </c>
      <c r="C146" s="1338"/>
      <c r="D146" s="1063"/>
      <c r="E146" s="1183">
        <f>'Parameter tables'!R163</f>
        <v>75</v>
      </c>
      <c r="F146" s="773" t="str">
        <f>IF(M$31="","",IF(M$33="","",M$33))</f>
        <v/>
      </c>
      <c r="G146" s="1072" t="str">
        <f>IF(M$31&lt;&gt;"g","",IF(F146&lt;&gt;"",F146,E146))</f>
        <v/>
      </c>
      <c r="H146" s="1181">
        <f>'Parameter tables'!U163</f>
        <v>1</v>
      </c>
      <c r="I146" s="1075" t="str">
        <f>F129</f>
        <v/>
      </c>
      <c r="J146" s="1072" t="str">
        <f>IF(M$31&lt;&gt;"g","",IF(I146&lt;&gt;"",I146,H146))</f>
        <v/>
      </c>
      <c r="K146" s="1181">
        <f>'Parameter tables'!X163</f>
        <v>1E-4</v>
      </c>
      <c r="L146" s="757" t="str">
        <f>IF(M$35="","",M$35/1000)</f>
        <v/>
      </c>
      <c r="M146" s="1072" t="str">
        <f>IF(M$31&lt;&gt;"g","",IF(L146&lt;&gt;"",L146,K146))</f>
        <v/>
      </c>
      <c r="N146" s="1077" t="str">
        <f>IF(M31&lt;&gt;"g","",M146^0.333)</f>
        <v/>
      </c>
      <c r="O146" s="2114" t="str">
        <f>IF(M31&lt;&gt;"g","",G146*0.2*(J146^0.5)*(M146^(0.37*J146^(-0.2))))</f>
        <v/>
      </c>
      <c r="P146" s="2115"/>
      <c r="R146" s="405"/>
      <c r="S146" s="500"/>
      <c r="T146" s="688"/>
      <c r="U146" s="693"/>
      <c r="V146" s="14"/>
      <c r="W146" s="14"/>
      <c r="X146" s="272"/>
      <c r="Y146" s="689"/>
      <c r="Z146" s="14"/>
      <c r="AA146" s="14"/>
      <c r="AB146" s="414"/>
      <c r="AC146" s="414"/>
      <c r="AD146" s="54"/>
      <c r="AE146" s="43"/>
      <c r="AF146" s="43"/>
    </row>
    <row r="147" spans="1:35">
      <c r="A147" s="1061" t="s">
        <v>52</v>
      </c>
      <c r="B147" s="1062" t="str">
        <f>'Parameter tables'!O164</f>
        <v>Crushed zone, with clayey joints</v>
      </c>
      <c r="C147" s="1338"/>
      <c r="D147" s="1063"/>
      <c r="E147" s="1183">
        <f>'Parameter tables'!R164</f>
        <v>50</v>
      </c>
      <c r="F147" s="773" t="str">
        <f>IF(M$31="","",IF(M$33="","",M$33))</f>
        <v/>
      </c>
      <c r="G147" s="1072" t="str">
        <f>IF(M$31&lt;&gt;"h","",IF(F147&lt;&gt;"",F147,E147))</f>
        <v/>
      </c>
      <c r="H147" s="1181">
        <f>'Parameter tables'!U164</f>
        <v>0.2</v>
      </c>
      <c r="I147" s="1075" t="str">
        <f>F129</f>
        <v/>
      </c>
      <c r="J147" s="1072" t="str">
        <f>IF(M$31&lt;&gt;"h","",IF(I147&lt;&gt;"",I147,H147))</f>
        <v/>
      </c>
      <c r="K147" s="1181">
        <f>'Parameter tables'!X164</f>
        <v>1E-4</v>
      </c>
      <c r="L147" s="757" t="str">
        <f>IF(M$35="","",M$35/1000)</f>
        <v/>
      </c>
      <c r="M147" s="1072" t="str">
        <f>IF(M$31&lt;&gt;"h","",IF(L147&lt;&gt;"",L147,K147))</f>
        <v/>
      </c>
      <c r="N147" s="1077" t="str">
        <f>IF(M31&lt;&gt;"h","",M147^0.333)</f>
        <v/>
      </c>
      <c r="O147" s="2114" t="str">
        <f>IF(M31&lt;&gt;"h","",G147*0.2*(J147^0.5)*(M147^(0.37*J147^(-0.2))))</f>
        <v/>
      </c>
      <c r="P147" s="2115"/>
      <c r="R147" s="405"/>
      <c r="S147" s="500"/>
      <c r="T147" s="688"/>
      <c r="U147" s="693"/>
      <c r="V147" s="14"/>
      <c r="W147" s="14"/>
      <c r="X147" s="272"/>
      <c r="Y147" s="689"/>
      <c r="Z147" s="14"/>
      <c r="AA147" s="14"/>
      <c r="AC147" s="414"/>
      <c r="AD147" s="54"/>
      <c r="AE147" s="43"/>
      <c r="AF147" s="43"/>
    </row>
    <row r="148" spans="1:35" ht="13.9" customHeight="1">
      <c r="A148" s="1064" t="s">
        <v>54</v>
      </c>
      <c r="B148" s="1065" t="str">
        <f>'Parameter tables'!O165</f>
        <v>Zone filled with soft material</v>
      </c>
      <c r="C148" s="1322"/>
      <c r="D148" s="1066"/>
      <c r="E148" s="1184">
        <f>'Parameter tables'!R165</f>
        <v>0.01</v>
      </c>
      <c r="F148" s="766"/>
      <c r="G148" s="1073" t="str">
        <f>IF(M$31&lt;&gt;"i","",IF(F148&lt;&gt;"",F148,E148))</f>
        <v/>
      </c>
      <c r="H148" s="2024" t="str">
        <f>'Parameter tables'!U165</f>
        <v>(no joints in soft fill)</v>
      </c>
      <c r="I148" s="2025"/>
      <c r="J148" s="2026"/>
      <c r="K148" s="1181">
        <f>'Parameter tables'!X165</f>
        <v>1E-4</v>
      </c>
      <c r="L148" s="799"/>
      <c r="M148" s="1073" t="str">
        <f>IF(M$31="i",K148,"")</f>
        <v/>
      </c>
      <c r="N148" s="1078" t="str">
        <f>IF(M31&lt;&gt;"i","",M148^0.333)</f>
        <v/>
      </c>
      <c r="O148" s="2116" t="str">
        <f>IF(M31&lt;&gt;"i","",G148*0.5)</f>
        <v/>
      </c>
      <c r="P148" s="2117"/>
      <c r="Q148" s="502"/>
      <c r="R148" s="405"/>
      <c r="S148" s="500"/>
      <c r="T148" s="688"/>
      <c r="U148" s="693"/>
      <c r="V148" s="14"/>
      <c r="W148" s="14"/>
      <c r="X148" s="272"/>
      <c r="Y148" s="689"/>
      <c r="Z148" s="14"/>
      <c r="AA148" s="14"/>
      <c r="AC148" s="414"/>
      <c r="AD148" s="54"/>
      <c r="AE148" s="43"/>
      <c r="AF148" s="43"/>
    </row>
    <row r="149" spans="1:35" ht="13.9" customHeight="1">
      <c r="A149" s="2033" t="s">
        <v>728</v>
      </c>
      <c r="B149" s="2033"/>
      <c r="C149" s="2033"/>
      <c r="D149" s="2033"/>
      <c r="E149" s="1194" t="s">
        <v>729</v>
      </c>
      <c r="F149" s="1116"/>
      <c r="H149" s="1118"/>
      <c r="I149" s="1119"/>
      <c r="J149" s="1116"/>
      <c r="K149" s="1315"/>
      <c r="L149" s="1120"/>
      <c r="M149" s="1188" t="str">
        <f>IF(SUM(M145:M148)=0,"",SUM(M145:M148))</f>
        <v/>
      </c>
      <c r="N149" s="1189" t="str">
        <f>IF(SUM(N145:N148)=0,"",SUM(N145:N148))</f>
        <v/>
      </c>
      <c r="O149" s="2118"/>
      <c r="P149" s="2119"/>
      <c r="R149" s="434"/>
      <c r="S149" s="405"/>
      <c r="T149" s="49"/>
      <c r="U149" s="456"/>
      <c r="V149" s="434"/>
      <c r="W149" s="434"/>
      <c r="X149" s="434"/>
      <c r="Y149" s="434"/>
      <c r="Z149" s="434"/>
      <c r="AA149" s="434"/>
      <c r="AC149" s="414"/>
      <c r="AD149" s="54"/>
      <c r="AE149" s="50"/>
      <c r="AF149" s="43"/>
    </row>
    <row r="150" spans="1:35" ht="13.9" customHeight="1">
      <c r="A150" s="776"/>
      <c r="C150" s="1079"/>
      <c r="D150" s="1079"/>
      <c r="E150" s="1080"/>
      <c r="F150" s="1080"/>
      <c r="G150" s="1080"/>
      <c r="H150" s="1081"/>
      <c r="I150" s="1082"/>
      <c r="J150" s="1082"/>
      <c r="K150" s="1117"/>
      <c r="L150" s="750" t="s">
        <v>769</v>
      </c>
      <c r="M150" s="1178" t="str">
        <f>IF(SUM(M145:M148)=0,"",IF(M149&lt;0.000001,0.000001,SUM(M145:M148)))</f>
        <v/>
      </c>
      <c r="N150" s="1176" t="str">
        <f>IF(SUM(N145:N148)=0,"",IF(N149&lt;0.01,0.01,SUM(N145:N148)))</f>
        <v/>
      </c>
      <c r="O150" s="2123" t="str">
        <f>IF(SUM(O145:O148)=0,"",SUM(O145:O148))</f>
        <v/>
      </c>
      <c r="P150" s="2124"/>
      <c r="AC150" s="414"/>
      <c r="AD150" s="54"/>
      <c r="AE150" s="50"/>
      <c r="AF150" s="43"/>
    </row>
    <row r="151" spans="1:35" ht="13.9" customHeight="1">
      <c r="C151" s="1169"/>
      <c r="D151" s="1169"/>
      <c r="E151" s="500"/>
      <c r="F151" s="500"/>
      <c r="G151" s="500"/>
      <c r="H151" s="1344"/>
      <c r="I151" s="695"/>
      <c r="J151" s="695"/>
      <c r="K151" s="8"/>
      <c r="L151" s="8"/>
      <c r="M151" s="8"/>
      <c r="N151" s="1185" t="s">
        <v>770</v>
      </c>
      <c r="O151" s="33"/>
      <c r="P151" s="33"/>
      <c r="R151" s="493"/>
      <c r="S151" s="434"/>
      <c r="T151" s="23"/>
      <c r="U151" s="23"/>
      <c r="V151" s="23"/>
      <c r="W151" s="8"/>
      <c r="X151" s="8"/>
      <c r="Y151" s="8"/>
      <c r="AC151" s="414"/>
      <c r="AD151" s="54"/>
      <c r="AE151" s="50"/>
      <c r="AF151" s="43"/>
    </row>
    <row r="152" spans="1:35" ht="13.9" customHeight="1">
      <c r="B152" s="617"/>
      <c r="D152" s="4"/>
      <c r="E152" s="4"/>
      <c r="H152" s="1344"/>
      <c r="I152" s="418"/>
      <c r="J152" s="8"/>
      <c r="K152" s="482"/>
      <c r="L152" s="483"/>
      <c r="M152" s="483"/>
      <c r="N152" s="1186" t="s">
        <v>771</v>
      </c>
      <c r="O152" s="484"/>
      <c r="P152" s="484"/>
      <c r="R152" s="371"/>
      <c r="S152" s="33"/>
      <c r="T152" s="371"/>
      <c r="U152" s="371"/>
      <c r="V152" s="371"/>
      <c r="W152" s="8"/>
      <c r="X152" s="8"/>
      <c r="Y152" s="405"/>
      <c r="AC152" s="414"/>
      <c r="AD152" s="54"/>
      <c r="AE152" s="60"/>
      <c r="AF152" s="50"/>
    </row>
    <row r="153" spans="1:35" ht="13.9" customHeight="1">
      <c r="B153" s="617"/>
      <c r="D153" s="4"/>
      <c r="E153" s="4"/>
      <c r="H153" s="1344"/>
      <c r="I153" s="485"/>
      <c r="K153" s="485"/>
      <c r="M153" s="487"/>
      <c r="N153" s="485"/>
      <c r="O153" s="2109"/>
      <c r="P153" s="2109"/>
      <c r="Q153" s="4"/>
      <c r="R153" s="371"/>
      <c r="S153" s="33"/>
      <c r="T153" s="371"/>
      <c r="U153" s="371"/>
      <c r="V153" s="371"/>
      <c r="W153" s="8"/>
      <c r="X153" s="8"/>
      <c r="Y153" s="494"/>
      <c r="AC153" s="414"/>
      <c r="AD153" s="54"/>
      <c r="AE153" s="50"/>
      <c r="AF153" s="50"/>
    </row>
    <row r="154" spans="1:35" ht="15" customHeight="1">
      <c r="D154" s="4"/>
      <c r="E154" s="4"/>
      <c r="I154" s="485"/>
      <c r="J154" s="485"/>
      <c r="K154" s="486"/>
      <c r="L154" s="486"/>
      <c r="M154" s="489"/>
      <c r="N154" s="1177"/>
      <c r="O154" s="490"/>
      <c r="P154" s="490"/>
      <c r="Q154" s="4"/>
      <c r="R154" s="371"/>
      <c r="S154" s="33"/>
      <c r="T154" s="371"/>
      <c r="U154" s="371"/>
      <c r="V154" s="371"/>
      <c r="W154" s="8"/>
      <c r="X154" s="8"/>
      <c r="Y154" s="494"/>
      <c r="AC154" s="414"/>
      <c r="AD154" s="54"/>
      <c r="AE154" s="61"/>
      <c r="AF154" s="50"/>
    </row>
    <row r="155" spans="1:35" ht="14.25" customHeight="1">
      <c r="B155" s="2013"/>
      <c r="C155" s="2013"/>
      <c r="D155" s="405"/>
      <c r="E155" s="405"/>
      <c r="F155" s="491"/>
      <c r="G155" s="9"/>
      <c r="H155" s="23"/>
      <c r="I155" s="485"/>
      <c r="J155" s="485"/>
      <c r="K155" s="485"/>
      <c r="L155" s="486"/>
      <c r="M155" s="487"/>
      <c r="N155" s="488"/>
      <c r="O155" s="488"/>
      <c r="P155" s="488"/>
      <c r="Q155" s="4"/>
      <c r="R155" s="371"/>
      <c r="S155" s="33"/>
      <c r="T155" s="371"/>
      <c r="U155" s="371"/>
      <c r="V155" s="371"/>
      <c r="W155" s="8"/>
      <c r="X155" s="8"/>
      <c r="Y155" s="494"/>
      <c r="Z155" s="414"/>
      <c r="AA155" s="414"/>
      <c r="AB155" s="414"/>
      <c r="AC155" s="414"/>
      <c r="AD155" s="54"/>
      <c r="AE155" s="407"/>
      <c r="AF155" s="50"/>
    </row>
    <row r="156" spans="1:35">
      <c r="B156" s="2013"/>
      <c r="C156" s="2013"/>
      <c r="D156" s="405"/>
      <c r="E156" s="405"/>
      <c r="F156" s="491"/>
      <c r="G156" s="9"/>
      <c r="H156" s="23"/>
      <c r="I156" s="485"/>
      <c r="J156" s="485"/>
      <c r="K156" s="485"/>
      <c r="L156" s="486"/>
      <c r="M156" s="489"/>
      <c r="N156" s="490"/>
      <c r="O156" s="490"/>
      <c r="P156" s="490"/>
      <c r="Q156" s="4"/>
      <c r="R156" s="371"/>
      <c r="S156" s="33"/>
      <c r="T156" s="371"/>
      <c r="U156" s="371"/>
      <c r="V156" s="495"/>
      <c r="W156" s="8"/>
      <c r="X156" s="8"/>
      <c r="Y156" s="496"/>
      <c r="Z156" s="497"/>
      <c r="AA156" s="497"/>
      <c r="AB156" s="497"/>
      <c r="AC156" s="497"/>
      <c r="AD156" s="63"/>
      <c r="AE156" s="408"/>
      <c r="AF156" s="50"/>
    </row>
    <row r="157" spans="1:35">
      <c r="B157" s="2012"/>
      <c r="C157" s="2012"/>
      <c r="D157" s="405"/>
      <c r="E157" s="492"/>
      <c r="F157" s="1172"/>
      <c r="G157" s="9"/>
      <c r="H157" s="23"/>
      <c r="I157" s="8"/>
      <c r="J157" s="8"/>
      <c r="K157" s="8"/>
      <c r="L157" s="8"/>
      <c r="M157" s="8"/>
      <c r="N157" s="8"/>
      <c r="O157" s="8"/>
      <c r="P157" s="8"/>
      <c r="R157" s="371"/>
      <c r="S157" s="33"/>
      <c r="T157" s="405"/>
      <c r="U157" s="371"/>
      <c r="V157" s="371"/>
      <c r="W157" s="8"/>
      <c r="X157" s="8"/>
      <c r="Y157" s="23"/>
      <c r="Z157" s="498"/>
      <c r="AA157" s="498"/>
      <c r="AB157" s="498"/>
      <c r="AC157" s="498"/>
      <c r="AD157" s="66"/>
      <c r="AE157" s="64"/>
      <c r="AF157" s="50"/>
      <c r="AG157" s="8"/>
      <c r="AH157" s="8"/>
      <c r="AI157" s="8"/>
    </row>
    <row r="158" spans="1:35" ht="14.25" customHeight="1">
      <c r="B158" s="2012"/>
      <c r="C158" s="2012"/>
      <c r="D158" s="405"/>
      <c r="E158" s="417"/>
      <c r="F158" s="1172"/>
      <c r="G158" s="9"/>
      <c r="H158" s="64"/>
      <c r="I158" s="8"/>
      <c r="J158" s="8"/>
      <c r="K158" s="8"/>
      <c r="L158" s="8"/>
      <c r="M158" s="8"/>
      <c r="N158" s="8"/>
      <c r="O158" s="8"/>
      <c r="P158" s="8"/>
      <c r="R158" s="371"/>
      <c r="S158" s="33"/>
      <c r="T158" s="371"/>
      <c r="U158" s="23"/>
      <c r="V158" s="23"/>
      <c r="W158" s="8"/>
      <c r="X158" s="8"/>
      <c r="Y158" s="23"/>
      <c r="Z158" s="498"/>
      <c r="AA158" s="498"/>
      <c r="AB158" s="498"/>
      <c r="AC158" s="498"/>
      <c r="AD158" s="66"/>
      <c r="AE158" s="64"/>
      <c r="AF158" s="50"/>
      <c r="AG158" s="8"/>
      <c r="AH158" s="8"/>
      <c r="AI158" s="8"/>
    </row>
    <row r="159" spans="1:35" ht="15" customHeight="1">
      <c r="D159" s="4"/>
      <c r="E159" s="4"/>
      <c r="H159" s="23"/>
      <c r="I159" s="8"/>
      <c r="J159" s="8"/>
      <c r="K159" s="8"/>
      <c r="L159" s="8"/>
      <c r="M159" s="8"/>
      <c r="N159" s="8"/>
      <c r="O159" s="8"/>
      <c r="P159" s="8"/>
      <c r="R159" s="371"/>
      <c r="S159" s="33"/>
      <c r="T159" s="371"/>
      <c r="U159" s="23"/>
      <c r="V159" s="23"/>
      <c r="W159" s="8"/>
      <c r="X159" s="8"/>
      <c r="Y159" s="23"/>
      <c r="Z159" s="410"/>
      <c r="AA159" s="410"/>
      <c r="AB159" s="410"/>
      <c r="AC159" s="410"/>
      <c r="AD159" s="410"/>
      <c r="AE159" s="410"/>
      <c r="AF159" s="410"/>
      <c r="AG159" s="410"/>
      <c r="AH159" s="410"/>
      <c r="AI159" s="410"/>
    </row>
    <row r="160" spans="1:35" ht="14.25" customHeight="1">
      <c r="D160" s="4"/>
      <c r="E160" s="4"/>
      <c r="H160" s="23"/>
      <c r="I160" s="8"/>
      <c r="J160" s="8"/>
      <c r="K160" s="8"/>
      <c r="L160" s="8"/>
      <c r="M160" s="8"/>
      <c r="N160" s="8"/>
      <c r="O160" s="8"/>
      <c r="P160" s="8"/>
      <c r="R160" s="371"/>
      <c r="S160" s="33"/>
      <c r="T160" s="405"/>
      <c r="U160" s="23"/>
      <c r="V160" s="23"/>
      <c r="W160" s="8"/>
      <c r="X160" s="8"/>
      <c r="Y160" s="23"/>
      <c r="Z160" s="407"/>
      <c r="AA160" s="407"/>
      <c r="AB160" s="407"/>
      <c r="AC160" s="407"/>
      <c r="AD160" s="407"/>
      <c r="AE160" s="407"/>
      <c r="AF160" s="407"/>
      <c r="AG160" s="407"/>
      <c r="AH160" s="407"/>
      <c r="AI160" s="407"/>
    </row>
    <row r="161" spans="2:35" ht="15" customHeight="1">
      <c r="H161" s="23"/>
      <c r="I161" s="8"/>
      <c r="J161" s="8"/>
      <c r="K161" s="8"/>
      <c r="L161" s="8"/>
      <c r="M161" s="8"/>
      <c r="N161" s="8"/>
      <c r="O161" s="8"/>
      <c r="P161" s="8"/>
      <c r="Q161" s="33"/>
      <c r="R161" s="371"/>
      <c r="S161" s="33"/>
      <c r="T161" s="417"/>
      <c r="U161" s="1318"/>
      <c r="V161" s="456"/>
      <c r="W161" s="456"/>
      <c r="X161" s="8"/>
      <c r="Y161" s="408"/>
      <c r="Z161" s="408"/>
      <c r="AA161" s="408"/>
      <c r="AB161" s="408"/>
      <c r="AC161" s="408"/>
      <c r="AD161" s="408"/>
      <c r="AE161" s="408"/>
      <c r="AF161" s="408"/>
      <c r="AG161" s="408"/>
      <c r="AH161" s="408"/>
      <c r="AI161" s="408"/>
    </row>
    <row r="162" spans="2:35" ht="14.25" customHeight="1">
      <c r="H162" s="23"/>
      <c r="I162" s="23"/>
      <c r="J162" s="8"/>
      <c r="K162" s="8"/>
      <c r="L162" s="8"/>
      <c r="M162" s="8"/>
      <c r="N162" s="8"/>
      <c r="O162" s="33"/>
      <c r="P162" s="33"/>
      <c r="Q162" s="33"/>
      <c r="R162" s="33"/>
      <c r="S162" s="33"/>
      <c r="T162" s="8"/>
      <c r="U162" s="8"/>
      <c r="V162" s="8"/>
      <c r="W162" s="451"/>
      <c r="X162" s="451"/>
      <c r="Y162" s="451"/>
      <c r="Z162" s="451"/>
      <c r="AA162" s="1326"/>
      <c r="AB162" s="1326"/>
      <c r="AC162" s="1326"/>
      <c r="AD162" s="1326"/>
      <c r="AE162" s="1980"/>
      <c r="AF162" s="1980"/>
      <c r="AG162" s="1980"/>
      <c r="AH162" s="1980"/>
      <c r="AI162" s="1321"/>
    </row>
    <row r="163" spans="2:35" ht="15.75" customHeight="1">
      <c r="O163" s="4"/>
      <c r="P163" s="4"/>
      <c r="Q163" s="4"/>
      <c r="R163" s="4"/>
      <c r="S163" s="4"/>
      <c r="W163" s="451"/>
      <c r="X163" s="451"/>
      <c r="Y163" s="451"/>
      <c r="Z163" s="451"/>
      <c r="AA163" s="1326"/>
      <c r="AB163" s="1326"/>
      <c r="AC163" s="1326"/>
      <c r="AD163" s="1326"/>
      <c r="AE163" s="1980"/>
      <c r="AF163" s="1980"/>
      <c r="AG163" s="1980"/>
      <c r="AH163" s="1980"/>
      <c r="AI163" s="1321"/>
    </row>
    <row r="164" spans="2:35" ht="14.25" customHeight="1">
      <c r="B164" s="2011"/>
      <c r="C164" s="2011"/>
      <c r="D164" s="2011"/>
      <c r="E164" s="2011"/>
      <c r="F164" s="8"/>
      <c r="G164" s="371"/>
      <c r="O164" s="4"/>
      <c r="P164" s="4"/>
      <c r="Q164" s="4"/>
      <c r="R164" s="4"/>
      <c r="S164" s="4"/>
      <c r="W164" s="64"/>
      <c r="X164" s="64"/>
      <c r="Y164" s="64"/>
      <c r="Z164" s="64"/>
      <c r="AA164" s="1321"/>
      <c r="AB164" s="1321"/>
      <c r="AC164" s="1321"/>
      <c r="AD164" s="1321"/>
      <c r="AE164" s="1980"/>
      <c r="AF164" s="1980"/>
      <c r="AG164" s="1980"/>
      <c r="AH164" s="1980"/>
      <c r="AI164" s="1321"/>
    </row>
    <row r="165" spans="2:35">
      <c r="B165" s="2011"/>
      <c r="C165" s="2011"/>
      <c r="D165" s="2011"/>
      <c r="E165" s="2011"/>
      <c r="F165" s="8"/>
      <c r="G165" s="371"/>
      <c r="H165" s="371"/>
      <c r="Q165" s="4"/>
      <c r="R165" s="75"/>
      <c r="S165" s="417"/>
      <c r="T165" s="417"/>
      <c r="U165" s="417"/>
      <c r="V165" s="64"/>
      <c r="W165" s="64"/>
      <c r="X165" s="64"/>
      <c r="Y165" s="64"/>
      <c r="Z165" s="64"/>
      <c r="AA165" s="1321"/>
      <c r="AB165" s="1321"/>
      <c r="AC165" s="1321"/>
      <c r="AD165" s="1321"/>
      <c r="AE165" s="1980"/>
      <c r="AF165" s="1980"/>
      <c r="AG165" s="1980"/>
      <c r="AH165" s="1980"/>
      <c r="AI165" s="1321"/>
    </row>
    <row r="166" spans="2:35" ht="14.25" customHeight="1">
      <c r="B166" s="8"/>
      <c r="C166" s="8"/>
      <c r="D166" s="272"/>
      <c r="E166" s="272"/>
      <c r="F166" s="8"/>
      <c r="G166" s="8"/>
      <c r="H166" s="8"/>
      <c r="N166" s="75"/>
      <c r="O166" s="75"/>
      <c r="P166" s="75"/>
      <c r="Q166" s="75"/>
      <c r="R166" s="75"/>
      <c r="S166" s="4"/>
      <c r="T166" s="409"/>
      <c r="U166" s="409"/>
      <c r="V166" s="1321"/>
      <c r="W166" s="1321"/>
      <c r="X166" s="1321"/>
      <c r="Y166" s="1321"/>
      <c r="Z166" s="1321"/>
      <c r="AA166" s="1321"/>
      <c r="AB166" s="1321"/>
      <c r="AC166" s="1321"/>
      <c r="AD166" s="1321"/>
      <c r="AE166" s="1980"/>
      <c r="AF166" s="1980"/>
      <c r="AG166" s="1980"/>
      <c r="AH166" s="1980"/>
      <c r="AI166" s="1321"/>
    </row>
    <row r="167" spans="2:35">
      <c r="M167" s="75"/>
      <c r="N167" s="75"/>
      <c r="Q167" s="415"/>
      <c r="R167" s="75"/>
      <c r="S167" s="4"/>
      <c r="T167" s="409"/>
      <c r="U167" s="409"/>
      <c r="V167" s="1321"/>
      <c r="W167" s="1321"/>
      <c r="X167" s="1321"/>
      <c r="Y167" s="1321"/>
      <c r="Z167" s="1321"/>
      <c r="AA167" s="1321"/>
      <c r="AB167" s="1321"/>
      <c r="AC167" s="1321"/>
      <c r="AD167" s="1321"/>
      <c r="AE167" s="1980"/>
      <c r="AF167" s="1980"/>
      <c r="AG167" s="1980"/>
      <c r="AH167" s="1980"/>
      <c r="AI167" s="1321"/>
    </row>
    <row r="168" spans="2:35">
      <c r="B168" s="23"/>
      <c r="Q168" s="4"/>
      <c r="R168" s="76"/>
      <c r="S168" s="409"/>
      <c r="T168" s="409"/>
      <c r="U168" s="409"/>
      <c r="V168" s="1321"/>
      <c r="W168" s="1321"/>
      <c r="X168" s="1321"/>
      <c r="Y168" s="1321"/>
      <c r="Z168" s="1321"/>
      <c r="AA168" s="1321"/>
      <c r="AB168" s="1321"/>
      <c r="AC168" s="1321"/>
      <c r="AD168" s="1321"/>
      <c r="AE168" s="1980"/>
      <c r="AF168" s="1980"/>
      <c r="AG168" s="1980"/>
      <c r="AH168" s="1980"/>
      <c r="AI168" s="1321"/>
    </row>
    <row r="169" spans="2:35" ht="14.25" customHeight="1">
      <c r="I169" s="400"/>
      <c r="J169" s="53"/>
      <c r="K169" s="53"/>
      <c r="L169" s="53"/>
      <c r="M169" s="53"/>
      <c r="N169" s="53"/>
      <c r="O169" s="53"/>
      <c r="P169" s="53"/>
      <c r="Q169" s="53"/>
      <c r="R169" s="59"/>
      <c r="S169" s="409"/>
      <c r="T169" s="409"/>
      <c r="U169" s="409"/>
      <c r="V169" s="1326"/>
      <c r="W169" s="1326"/>
      <c r="X169" s="1326"/>
      <c r="Y169" s="1326"/>
      <c r="Z169" s="1326"/>
      <c r="AA169" s="1326"/>
      <c r="AB169" s="1326"/>
      <c r="AC169" s="1326"/>
      <c r="AD169" s="1326"/>
      <c r="AE169" s="1993"/>
      <c r="AF169" s="1993"/>
      <c r="AG169" s="1993"/>
      <c r="AH169" s="1993"/>
      <c r="AI169" s="1326"/>
    </row>
    <row r="170" spans="2:35">
      <c r="D170" s="4"/>
      <c r="E170" s="4"/>
      <c r="H170" s="31"/>
      <c r="J170" s="53"/>
      <c r="K170" s="53"/>
      <c r="L170" s="53"/>
      <c r="M170" s="53"/>
      <c r="N170" s="53"/>
      <c r="O170" s="53"/>
      <c r="P170" s="53"/>
      <c r="Q170" s="53"/>
      <c r="R170" s="59"/>
      <c r="S170" s="409"/>
      <c r="T170" s="409"/>
      <c r="U170" s="409"/>
      <c r="V170" s="1326"/>
      <c r="W170" s="1326"/>
      <c r="X170" s="1326"/>
      <c r="Y170" s="1326"/>
      <c r="Z170" s="1326"/>
      <c r="AA170" s="1321"/>
      <c r="AB170" s="1321"/>
      <c r="AC170" s="1321"/>
      <c r="AD170" s="1321"/>
      <c r="AE170" s="1980"/>
      <c r="AF170" s="1980"/>
      <c r="AG170" s="1980"/>
      <c r="AH170" s="1980"/>
      <c r="AI170" s="1321"/>
    </row>
    <row r="171" spans="2:35">
      <c r="D171" s="412"/>
      <c r="E171" s="4"/>
      <c r="H171" s="31"/>
      <c r="K171" s="53"/>
      <c r="L171" s="53"/>
      <c r="M171" s="53"/>
      <c r="N171" s="53"/>
      <c r="O171" s="53"/>
      <c r="P171" s="53"/>
      <c r="Q171" s="53"/>
      <c r="R171" s="53"/>
      <c r="S171" s="68"/>
      <c r="T171" s="69"/>
      <c r="U171" s="70"/>
      <c r="V171" s="71"/>
      <c r="W171" s="71"/>
      <c r="X171" s="71"/>
      <c r="Y171" s="67"/>
      <c r="Z171" s="72"/>
      <c r="AA171" s="71"/>
      <c r="AB171" s="72"/>
      <c r="AC171" s="72"/>
      <c r="AD171" s="72"/>
      <c r="AE171" s="8"/>
      <c r="AF171" s="8"/>
      <c r="AG171" s="8"/>
      <c r="AH171" s="8"/>
      <c r="AI171" s="8"/>
    </row>
    <row r="172" spans="2:35">
      <c r="J172" s="53"/>
      <c r="K172" s="53"/>
      <c r="L172" s="53"/>
      <c r="M172" s="53"/>
      <c r="N172" s="53"/>
      <c r="O172" s="53"/>
      <c r="P172" s="53"/>
      <c r="Q172" s="53"/>
      <c r="R172" s="53"/>
      <c r="S172" s="72"/>
      <c r="T172" s="69"/>
      <c r="U172" s="71"/>
      <c r="V172" s="73"/>
      <c r="W172" s="73"/>
      <c r="X172" s="73"/>
      <c r="Y172" s="73"/>
      <c r="Z172" s="73"/>
      <c r="AA172" s="73"/>
      <c r="AB172" s="73"/>
      <c r="AC172" s="74"/>
      <c r="AD172" s="72"/>
      <c r="AE172" s="8"/>
      <c r="AF172" s="8"/>
      <c r="AG172" s="8"/>
      <c r="AH172" s="8"/>
      <c r="AI172" s="8"/>
    </row>
  </sheetData>
  <sheetProtection algorithmName="SHA-512" hashValue="SxyJa4NjjWeTRVFqJNIz5Y8pAaTaZDT1zhliwRVBYLLG+kT7MRgeurWp0jqjf2P5EX6DnSYOja5ozJGSXEtP9w==" saltValue="iXPoq9bPOAGIZiH8huL/Zw==" spinCount="100000" sheet="1" objects="1" scenarios="1" formatCells="0" formatColumns="0" formatRows="0"/>
  <mergeCells count="190">
    <mergeCell ref="B40:D41"/>
    <mergeCell ref="E40:H40"/>
    <mergeCell ref="L12:L13"/>
    <mergeCell ref="D15:E15"/>
    <mergeCell ref="L31:L32"/>
    <mergeCell ref="M31:M32"/>
    <mergeCell ref="N31:N32"/>
    <mergeCell ref="A5:A30"/>
    <mergeCell ref="A31:A41"/>
    <mergeCell ref="Z11:AA11"/>
    <mergeCell ref="E31:H32"/>
    <mergeCell ref="R20:S21"/>
    <mergeCell ref="N12:N13"/>
    <mergeCell ref="T16:T17"/>
    <mergeCell ref="Q10:Q22"/>
    <mergeCell ref="R12:R13"/>
    <mergeCell ref="R14:R15"/>
    <mergeCell ref="R16:R17"/>
    <mergeCell ref="S16:S17"/>
    <mergeCell ref="J20:K20"/>
    <mergeCell ref="J36:K37"/>
    <mergeCell ref="I31:K32"/>
    <mergeCell ref="N23:N24"/>
    <mergeCell ref="B5:C6"/>
    <mergeCell ref="J22:K22"/>
    <mergeCell ref="J8:L8"/>
    <mergeCell ref="I23:I24"/>
    <mergeCell ref="B29:D30"/>
    <mergeCell ref="E29:H29"/>
    <mergeCell ref="E30:H30"/>
    <mergeCell ref="Q2:AB4"/>
    <mergeCell ref="Q7:AB8"/>
    <mergeCell ref="R25:Z25"/>
    <mergeCell ref="T12:T13"/>
    <mergeCell ref="S12:S13"/>
    <mergeCell ref="R11:S11"/>
    <mergeCell ref="U11:Y11"/>
    <mergeCell ref="I10:L10"/>
    <mergeCell ref="J6:L6"/>
    <mergeCell ref="J7:L7"/>
    <mergeCell ref="M4:M9"/>
    <mergeCell ref="G21:I22"/>
    <mergeCell ref="O12:P13"/>
    <mergeCell ref="O7:P7"/>
    <mergeCell ref="O8:P8"/>
    <mergeCell ref="B4:L4"/>
    <mergeCell ref="H6:I7"/>
    <mergeCell ref="M12:M13"/>
    <mergeCell ref="D16:E16"/>
    <mergeCell ref="D5:G5"/>
    <mergeCell ref="D14:E14"/>
    <mergeCell ref="D18:F20"/>
    <mergeCell ref="D21:F24"/>
    <mergeCell ref="D25:F26"/>
    <mergeCell ref="O153:P153"/>
    <mergeCell ref="O142:P143"/>
    <mergeCell ref="O144:P144"/>
    <mergeCell ref="O145:P145"/>
    <mergeCell ref="O146:P146"/>
    <mergeCell ref="O147:P147"/>
    <mergeCell ref="O148:P148"/>
    <mergeCell ref="O149:P149"/>
    <mergeCell ref="K143:M143"/>
    <mergeCell ref="O150:P150"/>
    <mergeCell ref="J70:J72"/>
    <mergeCell ref="I82:I83"/>
    <mergeCell ref="L113:M113"/>
    <mergeCell ref="L115:M115"/>
    <mergeCell ref="J83:K84"/>
    <mergeCell ref="L83:P84"/>
    <mergeCell ref="J120:K126"/>
    <mergeCell ref="A108:D108"/>
    <mergeCell ref="A109:D109"/>
    <mergeCell ref="A110:D110"/>
    <mergeCell ref="A111:D112"/>
    <mergeCell ref="G99:H99"/>
    <mergeCell ref="J109:K109"/>
    <mergeCell ref="J100:K100"/>
    <mergeCell ref="A104:D107"/>
    <mergeCell ref="A101:D103"/>
    <mergeCell ref="A100:D100"/>
    <mergeCell ref="J101:K101"/>
    <mergeCell ref="G107:H107"/>
    <mergeCell ref="J48:K48"/>
    <mergeCell ref="G43:I43"/>
    <mergeCell ref="M48:N48"/>
    <mergeCell ref="M49:N49"/>
    <mergeCell ref="P53:Q55"/>
    <mergeCell ref="R45:AB46"/>
    <mergeCell ref="K49:L49"/>
    <mergeCell ref="D45:F46"/>
    <mergeCell ref="K50:L50"/>
    <mergeCell ref="K51:L51"/>
    <mergeCell ref="V53:AB58"/>
    <mergeCell ref="R66:V66"/>
    <mergeCell ref="R67:X67"/>
    <mergeCell ref="M66:M67"/>
    <mergeCell ref="J65:O65"/>
    <mergeCell ref="N66:O67"/>
    <mergeCell ref="J66:L67"/>
    <mergeCell ref="B164:E165"/>
    <mergeCell ref="B157:C158"/>
    <mergeCell ref="B155:C156"/>
    <mergeCell ref="A115:D115"/>
    <mergeCell ref="A142:D143"/>
    <mergeCell ref="A113:D113"/>
    <mergeCell ref="A144:D144"/>
    <mergeCell ref="H148:J148"/>
    <mergeCell ref="J112:J115"/>
    <mergeCell ref="A135:D136"/>
    <mergeCell ref="A137:C139"/>
    <mergeCell ref="A149:D149"/>
    <mergeCell ref="H142:J143"/>
    <mergeCell ref="E142:G143"/>
    <mergeCell ref="A114:D114"/>
    <mergeCell ref="A116:D116"/>
    <mergeCell ref="J68:K68"/>
    <mergeCell ref="A83:B88"/>
    <mergeCell ref="AG170:AH170"/>
    <mergeCell ref="AE167:AH167"/>
    <mergeCell ref="J79:L79"/>
    <mergeCell ref="J82:L82"/>
    <mergeCell ref="N142:N143"/>
    <mergeCell ref="AG163:AH163"/>
    <mergeCell ref="J85:K86"/>
    <mergeCell ref="AE168:AF168"/>
    <mergeCell ref="AG168:AH168"/>
    <mergeCell ref="AE169:AH169"/>
    <mergeCell ref="AE166:AH166"/>
    <mergeCell ref="AE162:AH162"/>
    <mergeCell ref="AE163:AF163"/>
    <mergeCell ref="AE164:AH164"/>
    <mergeCell ref="AE165:AF165"/>
    <mergeCell ref="AG165:AH165"/>
    <mergeCell ref="J104:K104"/>
    <mergeCell ref="J107:K107"/>
    <mergeCell ref="K142:M142"/>
    <mergeCell ref="J108:K108"/>
    <mergeCell ref="N99:P99"/>
    <mergeCell ref="AE170:AF170"/>
    <mergeCell ref="H97:J97"/>
    <mergeCell ref="J134:K136"/>
    <mergeCell ref="D47:F47"/>
    <mergeCell ref="E36:G37"/>
    <mergeCell ref="A44:C44"/>
    <mergeCell ref="A81:B82"/>
    <mergeCell ref="A92:C94"/>
    <mergeCell ref="A76:C79"/>
    <mergeCell ref="A80:C80"/>
    <mergeCell ref="A45:C45"/>
    <mergeCell ref="A43:C43"/>
    <mergeCell ref="A49:B55"/>
    <mergeCell ref="D70:D71"/>
    <mergeCell ref="A68:B69"/>
    <mergeCell ref="D76:D78"/>
    <mergeCell ref="E85:F85"/>
    <mergeCell ref="A70:C72"/>
    <mergeCell ref="A73:C75"/>
    <mergeCell ref="G66:H66"/>
    <mergeCell ref="B64:O64"/>
    <mergeCell ref="E88:F88"/>
    <mergeCell ref="N71:O71"/>
    <mergeCell ref="J78:L78"/>
    <mergeCell ref="J76:J77"/>
    <mergeCell ref="D43:F43"/>
    <mergeCell ref="J47:K47"/>
    <mergeCell ref="K69:L69"/>
    <mergeCell ref="O132:P132"/>
    <mergeCell ref="O131:P131"/>
    <mergeCell ref="A1:F3"/>
    <mergeCell ref="O4:P6"/>
    <mergeCell ref="N4:N5"/>
    <mergeCell ref="N6:N8"/>
    <mergeCell ref="J102:K103"/>
    <mergeCell ref="J105:K106"/>
    <mergeCell ref="O70:P70"/>
    <mergeCell ref="A99:E99"/>
    <mergeCell ref="J99:L99"/>
    <mergeCell ref="P73:P79"/>
    <mergeCell ref="K52:L52"/>
    <mergeCell ref="K53:L53"/>
    <mergeCell ref="K54:L54"/>
    <mergeCell ref="K55:L55"/>
    <mergeCell ref="E66:E67"/>
    <mergeCell ref="A89:B91"/>
    <mergeCell ref="F66:F67"/>
    <mergeCell ref="C65:H65"/>
    <mergeCell ref="A66:C67"/>
    <mergeCell ref="A47:C48"/>
    <mergeCell ref="H36:I37"/>
  </mergeCells>
  <phoneticPr fontId="3" type="noConversion"/>
  <hyperlinks>
    <hyperlink ref="Y19" location="'Parameter tables'!O60" display="click here" xr:uid="{BF5266CE-4305-4042-8345-F1B7B50AE255}"/>
    <hyperlink ref="E149" location="'Parameter tables'!R167:X170" display="here" xr:uid="{30C6241D-1C05-46FA-9051-B74BBF497355}"/>
    <hyperlink ref="J17" location="TEMPLATE!R18" display="here" xr:uid="{0E016394-DF20-45D6-89C7-1D30A76ED00D}"/>
    <hyperlink ref="K29" location="'H-B ratings'!B4" display="H-B ratings'!A1" xr:uid="{09137885-4A80-40BF-BB40-58E29B01B619}"/>
    <hyperlink ref="K40" location="'H-B ratings'!B4" display="H-B ratings'!A1" xr:uid="{5B7211A0-7B35-46A0-8225-FCCF0209D5BD}"/>
  </hyperlinks>
  <pageMargins left="0.71" right="0.21" top="0.79" bottom="0.93" header="0.26" footer="0.15748031496062992"/>
  <pageSetup paperSize="9"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61F8-4EA9-4AAB-85DD-B34B28EC6202}">
  <dimension ref="D2:F2"/>
  <sheetViews>
    <sheetView workbookViewId="0">
      <selection activeCell="L7" sqref="L7"/>
    </sheetView>
  </sheetViews>
  <sheetFormatPr baseColWidth="10" defaultRowHeight="12.75"/>
  <sheetData>
    <row r="2" spans="4:6" ht="24.75">
      <c r="D2" s="2261" t="s">
        <v>1063</v>
      </c>
      <c r="E2" s="2261"/>
      <c r="F2" s="2261"/>
    </row>
  </sheetData>
  <mergeCells count="1">
    <mergeCell ref="D2:F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6"/>
  <dimension ref="A1:AO210"/>
  <sheetViews>
    <sheetView showGridLines="0" topLeftCell="A130" zoomScale="154" zoomScaleNormal="154" workbookViewId="0">
      <selection activeCell="Q135" sqref="Q135"/>
    </sheetView>
  </sheetViews>
  <sheetFormatPr baseColWidth="10" defaultColWidth="8.85546875" defaultRowHeight="12.75"/>
  <cols>
    <col min="1" max="1" width="8.140625" style="399" customWidth="1"/>
    <col min="2" max="2" width="13.5703125" style="53" customWidth="1"/>
    <col min="3" max="3" width="16.140625" style="53" customWidth="1"/>
    <col min="4" max="4" width="6.5703125" style="53" customWidth="1"/>
    <col min="5" max="5" width="2.140625" style="53" customWidth="1"/>
    <col min="6" max="6" width="5.42578125" style="53" customWidth="1"/>
    <col min="7" max="7" width="6.5703125" style="53" customWidth="1"/>
    <col min="8" max="12" width="6.7109375" style="53" customWidth="1"/>
    <col min="13" max="13" width="7" style="53" customWidth="1"/>
    <col min="14" max="14" width="3.42578125" style="53" customWidth="1"/>
    <col min="15" max="15" width="10.85546875" style="53" customWidth="1"/>
    <col min="16" max="16" width="4" style="53" customWidth="1"/>
    <col min="17" max="17" width="5.140625" style="53" customWidth="1"/>
    <col min="18" max="18" width="3.5703125" style="53" customWidth="1"/>
    <col min="19" max="19" width="6.7109375" style="53" customWidth="1"/>
    <col min="20" max="20" width="4.7109375" style="53" customWidth="1"/>
    <col min="21" max="21" width="3.28515625" style="53" customWidth="1"/>
    <col min="22" max="22" width="6.140625" style="53" customWidth="1"/>
    <col min="23" max="23" width="4.28515625" style="53" customWidth="1"/>
    <col min="24" max="24" width="3.140625" style="53" customWidth="1"/>
    <col min="25" max="25" width="5.140625" style="53" customWidth="1"/>
    <col min="26" max="26" width="4.5703125" style="53" customWidth="1"/>
    <col min="27" max="27" width="3.140625" style="53" customWidth="1"/>
    <col min="28" max="29" width="4.28515625" style="53" customWidth="1"/>
    <col min="30" max="30" width="4.7109375" style="53" customWidth="1"/>
    <col min="31" max="31" width="3.28515625" style="53" customWidth="1"/>
    <col min="32" max="32" width="4.28515625" style="53" customWidth="1"/>
    <col min="33" max="16384" width="8.85546875" style="53"/>
  </cols>
  <sheetData>
    <row r="1" spans="1:19" ht="15.75" customHeight="1">
      <c r="A1" s="77" t="s">
        <v>13</v>
      </c>
      <c r="S1" s="78">
        <v>2221</v>
      </c>
    </row>
    <row r="2" spans="1:19" ht="13.15" customHeight="1">
      <c r="A2" s="2786" t="s">
        <v>776</v>
      </c>
      <c r="B2" s="2786"/>
      <c r="C2" s="2786"/>
      <c r="D2" s="2786"/>
      <c r="E2" s="2786"/>
      <c r="G2" s="26"/>
      <c r="M2" s="1860" t="s">
        <v>1017</v>
      </c>
    </row>
    <row r="3" spans="1:19" ht="15.75" customHeight="1" thickBot="1">
      <c r="A3" s="79"/>
      <c r="F3" s="80"/>
      <c r="G3" s="81"/>
      <c r="O3" s="82" t="s">
        <v>488</v>
      </c>
    </row>
    <row r="4" spans="1:19" ht="15.75" customHeight="1">
      <c r="A4" s="83" t="s">
        <v>169</v>
      </c>
      <c r="B4" s="2648" t="s">
        <v>112</v>
      </c>
      <c r="C4" s="2648"/>
      <c r="D4" s="2648"/>
      <c r="E4" s="2648"/>
      <c r="F4" s="2649"/>
      <c r="G4" s="2560" t="s">
        <v>257</v>
      </c>
      <c r="H4" s="2567" t="s">
        <v>369</v>
      </c>
      <c r="I4" s="2568"/>
      <c r="J4" s="2569" t="s">
        <v>0</v>
      </c>
      <c r="K4" s="2593"/>
      <c r="L4" s="2569" t="s">
        <v>1</v>
      </c>
      <c r="M4" s="2570"/>
    </row>
    <row r="5" spans="1:19" ht="12" customHeight="1">
      <c r="A5" s="84" t="s">
        <v>4</v>
      </c>
      <c r="B5" s="2562" t="s">
        <v>254</v>
      </c>
      <c r="C5" s="2562"/>
      <c r="D5" s="2562"/>
      <c r="E5" s="2562"/>
      <c r="F5" s="2563"/>
      <c r="G5" s="2561"/>
      <c r="H5" s="2564" t="s">
        <v>14</v>
      </c>
      <c r="I5" s="2565"/>
      <c r="J5" s="2548" t="s">
        <v>56</v>
      </c>
      <c r="K5" s="2566"/>
      <c r="L5" s="2594" t="s">
        <v>15</v>
      </c>
      <c r="M5" s="2595"/>
    </row>
    <row r="6" spans="1:19" ht="12" customHeight="1">
      <c r="A6" s="85"/>
      <c r="B6" s="2662" t="s">
        <v>17</v>
      </c>
      <c r="C6" s="2663"/>
      <c r="D6" s="86" t="s">
        <v>252</v>
      </c>
      <c r="E6" s="87" t="s">
        <v>159</v>
      </c>
      <c r="F6" s="1243">
        <v>1</v>
      </c>
      <c r="G6" s="88" t="s">
        <v>16</v>
      </c>
      <c r="H6" s="2627">
        <v>0</v>
      </c>
      <c r="I6" s="2628"/>
      <c r="J6" s="2302" t="s">
        <v>366</v>
      </c>
      <c r="K6" s="2303"/>
      <c r="L6" s="2573">
        <v>0.5</v>
      </c>
      <c r="M6" s="2574"/>
      <c r="O6" s="2314" t="s">
        <v>246</v>
      </c>
      <c r="P6" s="2315"/>
      <c r="Q6" s="2316"/>
    </row>
    <row r="7" spans="1:19" ht="12" customHeight="1">
      <c r="A7" s="1254" t="s">
        <v>427</v>
      </c>
      <c r="B7" s="2652" t="s">
        <v>19</v>
      </c>
      <c r="C7" s="89" t="s">
        <v>20</v>
      </c>
      <c r="D7" s="90">
        <f>F6</f>
        <v>1</v>
      </c>
      <c r="E7" s="91" t="s">
        <v>56</v>
      </c>
      <c r="F7" s="1236">
        <v>5</v>
      </c>
      <c r="G7" s="92" t="s">
        <v>18</v>
      </c>
      <c r="H7" s="2557">
        <v>1</v>
      </c>
      <c r="I7" s="2558"/>
      <c r="J7" s="2302"/>
      <c r="K7" s="2303"/>
      <c r="L7" s="2571">
        <f>(D7+F7)/2</f>
        <v>3</v>
      </c>
      <c r="M7" s="2572"/>
      <c r="O7" s="2317"/>
      <c r="P7" s="2318"/>
      <c r="Q7" s="2319"/>
    </row>
    <row r="8" spans="1:19" ht="12" customHeight="1">
      <c r="A8" s="1254" t="s">
        <v>426</v>
      </c>
      <c r="B8" s="2652"/>
      <c r="C8" s="89" t="s">
        <v>22</v>
      </c>
      <c r="D8" s="90">
        <f t="shared" ref="D8:D13" si="0">F7</f>
        <v>5</v>
      </c>
      <c r="E8" s="91" t="s">
        <v>56</v>
      </c>
      <c r="F8" s="1236">
        <v>25</v>
      </c>
      <c r="G8" s="92" t="s">
        <v>21</v>
      </c>
      <c r="H8" s="2557">
        <v>2</v>
      </c>
      <c r="I8" s="2558"/>
      <c r="J8" s="2302"/>
      <c r="K8" s="2303"/>
      <c r="L8" s="2571">
        <f t="shared" ref="L8:L13" si="1">(D8+F8)/2</f>
        <v>15</v>
      </c>
      <c r="M8" s="2572"/>
      <c r="O8" s="2317"/>
      <c r="P8" s="2318"/>
      <c r="Q8" s="2319"/>
    </row>
    <row r="9" spans="1:19" ht="12" customHeight="1">
      <c r="A9" s="1254" t="s">
        <v>374</v>
      </c>
      <c r="B9" s="2652"/>
      <c r="C9" s="89" t="s">
        <v>24</v>
      </c>
      <c r="D9" s="90">
        <f t="shared" si="0"/>
        <v>25</v>
      </c>
      <c r="E9" s="91" t="s">
        <v>56</v>
      </c>
      <c r="F9" s="1236">
        <v>50</v>
      </c>
      <c r="G9" s="92" t="s">
        <v>23</v>
      </c>
      <c r="H9" s="2557">
        <v>4</v>
      </c>
      <c r="I9" s="2558"/>
      <c r="J9" s="2302"/>
      <c r="K9" s="2303"/>
      <c r="L9" s="2571">
        <f t="shared" si="1"/>
        <v>37.5</v>
      </c>
      <c r="M9" s="2572"/>
      <c r="O9" s="2317"/>
      <c r="P9" s="2318"/>
      <c r="Q9" s="2319"/>
    </row>
    <row r="10" spans="1:19" ht="12" customHeight="1">
      <c r="A10" s="1254" t="s">
        <v>460</v>
      </c>
      <c r="B10" s="2652"/>
      <c r="C10" s="2788" t="s">
        <v>26</v>
      </c>
      <c r="D10" s="90">
        <f t="shared" si="0"/>
        <v>50</v>
      </c>
      <c r="E10" s="91" t="s">
        <v>56</v>
      </c>
      <c r="F10" s="1236">
        <v>75</v>
      </c>
      <c r="G10" s="92" t="s">
        <v>25</v>
      </c>
      <c r="H10" s="2557">
        <v>7</v>
      </c>
      <c r="I10" s="2558"/>
      <c r="J10" s="2302"/>
      <c r="K10" s="2303"/>
      <c r="L10" s="2571">
        <f t="shared" si="1"/>
        <v>62.5</v>
      </c>
      <c r="M10" s="2572"/>
      <c r="O10" s="2317"/>
      <c r="P10" s="2318"/>
      <c r="Q10" s="2319"/>
    </row>
    <row r="11" spans="1:19" ht="12" customHeight="1">
      <c r="A11" s="1255" t="s">
        <v>460</v>
      </c>
      <c r="B11" s="2652"/>
      <c r="C11" s="2789"/>
      <c r="D11" s="90">
        <f t="shared" si="0"/>
        <v>75</v>
      </c>
      <c r="E11" s="91" t="s">
        <v>56</v>
      </c>
      <c r="F11" s="1236">
        <v>100</v>
      </c>
      <c r="G11" s="1246" t="s">
        <v>27</v>
      </c>
      <c r="H11" s="2577">
        <v>7</v>
      </c>
      <c r="I11" s="2578"/>
      <c r="J11" s="2302"/>
      <c r="K11" s="2303"/>
      <c r="L11" s="2575">
        <f>(D11+F11)/2</f>
        <v>87.5</v>
      </c>
      <c r="M11" s="2576"/>
      <c r="O11" s="2317"/>
      <c r="P11" s="2318"/>
      <c r="Q11" s="2319"/>
    </row>
    <row r="12" spans="1:19" ht="12" customHeight="1">
      <c r="A12" s="1255" t="s">
        <v>394</v>
      </c>
      <c r="B12" s="2653"/>
      <c r="C12" s="2788" t="s">
        <v>28</v>
      </c>
      <c r="D12" s="90">
        <f t="shared" si="0"/>
        <v>100</v>
      </c>
      <c r="E12" s="94"/>
      <c r="F12" s="1244">
        <v>150</v>
      </c>
      <c r="G12" s="95" t="s">
        <v>29</v>
      </c>
      <c r="H12" s="2557">
        <v>12</v>
      </c>
      <c r="I12" s="2558"/>
      <c r="J12" s="2302"/>
      <c r="K12" s="2303"/>
      <c r="L12" s="2571">
        <f t="shared" si="1"/>
        <v>125</v>
      </c>
      <c r="M12" s="2572"/>
      <c r="O12" s="2317"/>
      <c r="P12" s="2318"/>
      <c r="Q12" s="2319"/>
    </row>
    <row r="13" spans="1:19" ht="12" customHeight="1">
      <c r="A13" s="1255" t="s">
        <v>394</v>
      </c>
      <c r="B13" s="2653"/>
      <c r="C13" s="2789"/>
      <c r="D13" s="90">
        <f t="shared" si="0"/>
        <v>150</v>
      </c>
      <c r="E13" s="94"/>
      <c r="F13" s="1244">
        <v>250</v>
      </c>
      <c r="G13" s="95" t="s">
        <v>52</v>
      </c>
      <c r="H13" s="2557">
        <v>12</v>
      </c>
      <c r="I13" s="2558"/>
      <c r="J13" s="2302"/>
      <c r="K13" s="2303"/>
      <c r="L13" s="2571">
        <f t="shared" si="1"/>
        <v>200</v>
      </c>
      <c r="M13" s="2572"/>
      <c r="O13" s="2317"/>
      <c r="P13" s="2318"/>
      <c r="Q13" s="2319"/>
    </row>
    <row r="14" spans="1:19" ht="12" customHeight="1" thickBot="1">
      <c r="A14" s="1265" t="s">
        <v>425</v>
      </c>
      <c r="B14" s="2654"/>
      <c r="C14" s="97" t="s">
        <v>30</v>
      </c>
      <c r="D14" s="98" t="s">
        <v>253</v>
      </c>
      <c r="E14" s="99" t="s">
        <v>158</v>
      </c>
      <c r="F14" s="1245">
        <f>F13</f>
        <v>250</v>
      </c>
      <c r="G14" s="100" t="s">
        <v>54</v>
      </c>
      <c r="H14" s="2667">
        <v>15</v>
      </c>
      <c r="I14" s="2668"/>
      <c r="J14" s="2650"/>
      <c r="K14" s="2651"/>
      <c r="L14" s="2585">
        <v>300</v>
      </c>
      <c r="M14" s="2586"/>
      <c r="O14" s="2320"/>
      <c r="P14" s="2321"/>
      <c r="Q14" s="2322"/>
    </row>
    <row r="15" spans="1:19" ht="12" customHeight="1" thickTop="1">
      <c r="A15" s="588" t="s">
        <v>382</v>
      </c>
      <c r="B15" s="101" t="s">
        <v>376</v>
      </c>
      <c r="C15" s="102"/>
      <c r="D15" s="103"/>
      <c r="E15" s="104"/>
      <c r="F15" s="105"/>
      <c r="G15" s="106"/>
      <c r="H15" s="107"/>
      <c r="I15" s="107"/>
      <c r="J15" s="104"/>
      <c r="K15" s="104"/>
      <c r="L15" s="107"/>
      <c r="M15" s="108"/>
      <c r="O15" s="40"/>
      <c r="P15" s="40"/>
      <c r="Q15" s="40"/>
    </row>
    <row r="16" spans="1:19" ht="12" customHeight="1">
      <c r="A16" s="109"/>
      <c r="B16" s="110" t="s">
        <v>378</v>
      </c>
      <c r="C16" s="2270" t="s">
        <v>391</v>
      </c>
      <c r="D16" s="2271"/>
      <c r="E16" s="2271"/>
      <c r="F16" s="2271"/>
      <c r="G16" s="2271"/>
      <c r="H16" s="2271"/>
      <c r="I16" s="2271"/>
      <c r="J16" s="2271"/>
      <c r="K16" s="2271"/>
      <c r="L16" s="2271"/>
      <c r="M16" s="2272"/>
      <c r="O16" s="2314" t="s">
        <v>609</v>
      </c>
      <c r="P16" s="2315"/>
      <c r="Q16" s="2316"/>
    </row>
    <row r="17" spans="1:20" ht="12" customHeight="1">
      <c r="A17" s="109"/>
      <c r="B17" s="2292" t="s">
        <v>384</v>
      </c>
      <c r="C17" s="2276" t="s">
        <v>390</v>
      </c>
      <c r="D17" s="2277"/>
      <c r="E17" s="2277"/>
      <c r="F17" s="2277"/>
      <c r="G17" s="2277"/>
      <c r="H17" s="2277"/>
      <c r="I17" s="2277"/>
      <c r="J17" s="2277"/>
      <c r="K17" s="2277"/>
      <c r="L17" s="2277"/>
      <c r="M17" s="2278"/>
      <c r="O17" s="2317"/>
      <c r="P17" s="2318"/>
      <c r="Q17" s="2319"/>
    </row>
    <row r="18" spans="1:20" ht="12" customHeight="1">
      <c r="A18" s="85"/>
      <c r="B18" s="2293"/>
      <c r="C18" s="2279"/>
      <c r="D18" s="2280"/>
      <c r="E18" s="2280"/>
      <c r="F18" s="2280"/>
      <c r="G18" s="2280"/>
      <c r="H18" s="2280"/>
      <c r="I18" s="2280"/>
      <c r="J18" s="2280"/>
      <c r="K18" s="2280"/>
      <c r="L18" s="2280"/>
      <c r="M18" s="2281"/>
      <c r="O18" s="2317"/>
      <c r="P18" s="2318"/>
      <c r="Q18" s="2319"/>
    </row>
    <row r="19" spans="1:20" ht="12" customHeight="1">
      <c r="A19" s="85"/>
      <c r="B19" s="2599" t="s">
        <v>385</v>
      </c>
      <c r="C19" s="2579" t="s">
        <v>389</v>
      </c>
      <c r="D19" s="2580"/>
      <c r="E19" s="2580"/>
      <c r="F19" s="2580"/>
      <c r="G19" s="2580"/>
      <c r="H19" s="2580"/>
      <c r="I19" s="2580"/>
      <c r="J19" s="2580"/>
      <c r="K19" s="2580"/>
      <c r="L19" s="2580"/>
      <c r="M19" s="2581"/>
      <c r="O19" s="2317"/>
      <c r="P19" s="2318"/>
      <c r="Q19" s="2319"/>
    </row>
    <row r="20" spans="1:20" ht="12" customHeight="1">
      <c r="A20" s="85"/>
      <c r="B20" s="2600"/>
      <c r="C20" s="2582"/>
      <c r="D20" s="2583"/>
      <c r="E20" s="2583"/>
      <c r="F20" s="2583"/>
      <c r="G20" s="2583"/>
      <c r="H20" s="2583"/>
      <c r="I20" s="2583"/>
      <c r="J20" s="2583"/>
      <c r="K20" s="2583"/>
      <c r="L20" s="2583"/>
      <c r="M20" s="2584"/>
      <c r="O20" s="2317"/>
      <c r="P20" s="2318"/>
      <c r="Q20" s="2319"/>
    </row>
    <row r="21" spans="1:20" ht="12" customHeight="1">
      <c r="A21" s="85"/>
      <c r="B21" s="2292" t="s">
        <v>386</v>
      </c>
      <c r="C21" s="2276" t="s">
        <v>379</v>
      </c>
      <c r="D21" s="2277"/>
      <c r="E21" s="2277"/>
      <c r="F21" s="2277"/>
      <c r="G21" s="2277"/>
      <c r="H21" s="2277"/>
      <c r="I21" s="2277"/>
      <c r="J21" s="2277"/>
      <c r="K21" s="2277"/>
      <c r="L21" s="2277"/>
      <c r="M21" s="2278"/>
      <c r="O21" s="2317"/>
      <c r="P21" s="2318"/>
      <c r="Q21" s="2319"/>
    </row>
    <row r="22" spans="1:20" ht="12" customHeight="1">
      <c r="A22" s="85"/>
      <c r="B22" s="2293"/>
      <c r="C22" s="2279"/>
      <c r="D22" s="2280"/>
      <c r="E22" s="2280"/>
      <c r="F22" s="2280"/>
      <c r="G22" s="2280"/>
      <c r="H22" s="2280"/>
      <c r="I22" s="2280"/>
      <c r="J22" s="2280"/>
      <c r="K22" s="2280"/>
      <c r="L22" s="2280"/>
      <c r="M22" s="2281"/>
      <c r="O22" s="2317"/>
      <c r="P22" s="2318"/>
      <c r="Q22" s="2319"/>
    </row>
    <row r="23" spans="1:20" ht="12" customHeight="1">
      <c r="A23" s="85"/>
      <c r="B23" s="2292" t="s">
        <v>387</v>
      </c>
      <c r="C23" s="2276" t="s">
        <v>388</v>
      </c>
      <c r="D23" s="2277"/>
      <c r="E23" s="2277"/>
      <c r="F23" s="2277"/>
      <c r="G23" s="2277"/>
      <c r="H23" s="2277"/>
      <c r="I23" s="2277"/>
      <c r="J23" s="2277"/>
      <c r="K23" s="2277"/>
      <c r="L23" s="2277"/>
      <c r="M23" s="2278"/>
      <c r="O23" s="2317"/>
      <c r="P23" s="2318"/>
      <c r="Q23" s="2319"/>
    </row>
    <row r="24" spans="1:20" ht="12" customHeight="1">
      <c r="A24" s="85"/>
      <c r="B24" s="2293"/>
      <c r="C24" s="2279"/>
      <c r="D24" s="2280"/>
      <c r="E24" s="2280"/>
      <c r="F24" s="2280"/>
      <c r="G24" s="2280"/>
      <c r="H24" s="2280"/>
      <c r="I24" s="2280"/>
      <c r="J24" s="2280"/>
      <c r="K24" s="2280"/>
      <c r="L24" s="2280"/>
      <c r="M24" s="2281"/>
      <c r="O24" s="2317"/>
      <c r="P24" s="2318"/>
      <c r="Q24" s="2319"/>
    </row>
    <row r="25" spans="1:20" ht="12" customHeight="1" thickBot="1">
      <c r="A25" s="96"/>
      <c r="B25" s="111" t="s">
        <v>380</v>
      </c>
      <c r="C25" s="2273" t="s">
        <v>381</v>
      </c>
      <c r="D25" s="2274"/>
      <c r="E25" s="2274"/>
      <c r="F25" s="2274"/>
      <c r="G25" s="2274"/>
      <c r="H25" s="2274"/>
      <c r="I25" s="2274"/>
      <c r="J25" s="2274"/>
      <c r="K25" s="2274"/>
      <c r="L25" s="2274"/>
      <c r="M25" s="2275"/>
      <c r="O25" s="2320"/>
      <c r="P25" s="2321"/>
      <c r="Q25" s="2322"/>
    </row>
    <row r="26" spans="1:20" ht="12" customHeight="1" thickBot="1">
      <c r="A26" s="79"/>
      <c r="B26" s="112"/>
      <c r="C26" s="112"/>
      <c r="D26" s="112"/>
      <c r="E26" s="112"/>
      <c r="F26" s="112"/>
      <c r="G26" s="112"/>
      <c r="H26" s="112"/>
      <c r="I26" s="112"/>
      <c r="J26" s="112"/>
    </row>
    <row r="27" spans="1:20" ht="14.25" customHeight="1">
      <c r="A27" s="83" t="s">
        <v>170</v>
      </c>
      <c r="B27" s="2343" t="s">
        <v>31</v>
      </c>
      <c r="C27" s="2343"/>
      <c r="D27" s="2343"/>
      <c r="E27" s="2343"/>
      <c r="F27" s="2344"/>
      <c r="G27" s="2560" t="s">
        <v>257</v>
      </c>
      <c r="H27" s="2567" t="s">
        <v>369</v>
      </c>
      <c r="I27" s="2593"/>
      <c r="J27" s="2569" t="s">
        <v>0</v>
      </c>
      <c r="K27" s="2593"/>
      <c r="L27" s="2569" t="s">
        <v>1</v>
      </c>
      <c r="M27" s="2570"/>
    </row>
    <row r="28" spans="1:20" ht="12" customHeight="1">
      <c r="A28" s="113" t="s">
        <v>5</v>
      </c>
      <c r="B28" s="2562" t="s">
        <v>194</v>
      </c>
      <c r="C28" s="2602"/>
      <c r="D28" s="114"/>
      <c r="E28" s="114"/>
      <c r="F28" s="115"/>
      <c r="G28" s="2561"/>
      <c r="H28" s="2669" t="s">
        <v>32</v>
      </c>
      <c r="I28" s="2670"/>
      <c r="J28" s="2671" t="s">
        <v>33</v>
      </c>
      <c r="K28" s="2672"/>
      <c r="L28" s="2548" t="s">
        <v>56</v>
      </c>
      <c r="M28" s="2549"/>
    </row>
    <row r="29" spans="1:20" ht="12" customHeight="1">
      <c r="A29" s="2887"/>
      <c r="B29" s="2894" t="s">
        <v>36</v>
      </c>
      <c r="C29" s="566"/>
      <c r="D29" s="116" t="s">
        <v>111</v>
      </c>
      <c r="E29" s="117" t="s">
        <v>159</v>
      </c>
      <c r="F29" s="1238">
        <v>10</v>
      </c>
      <c r="G29" s="118" t="s">
        <v>16</v>
      </c>
      <c r="H29" s="2556">
        <v>5</v>
      </c>
      <c r="I29" s="2556"/>
      <c r="J29" s="2573">
        <f>F29</f>
        <v>10</v>
      </c>
      <c r="K29" s="2628"/>
      <c r="L29" s="2300" t="s">
        <v>229</v>
      </c>
      <c r="M29" s="2493"/>
      <c r="O29" s="2314" t="s">
        <v>232</v>
      </c>
      <c r="P29" s="2315"/>
      <c r="Q29" s="2316"/>
      <c r="S29" s="119"/>
      <c r="T29" s="119"/>
    </row>
    <row r="30" spans="1:20" ht="12" customHeight="1">
      <c r="A30" s="2888"/>
      <c r="B30" s="2665"/>
      <c r="C30" s="120"/>
      <c r="D30" s="90">
        <f>F29</f>
        <v>10</v>
      </c>
      <c r="E30" s="91" t="s">
        <v>56</v>
      </c>
      <c r="F30" s="1236">
        <v>25</v>
      </c>
      <c r="G30" s="121" t="s">
        <v>18</v>
      </c>
      <c r="H30" s="2559">
        <v>5</v>
      </c>
      <c r="I30" s="2559"/>
      <c r="J30" s="2892">
        <f>(D30+F30)/2</f>
        <v>17.5</v>
      </c>
      <c r="K30" s="2893"/>
      <c r="L30" s="2302"/>
      <c r="M30" s="2494"/>
      <c r="O30" s="2317"/>
      <c r="P30" s="2318"/>
      <c r="Q30" s="2319"/>
      <c r="S30" s="119"/>
      <c r="T30" s="119"/>
    </row>
    <row r="31" spans="1:20" ht="12" customHeight="1">
      <c r="A31" s="2888"/>
      <c r="B31" s="2664" t="s">
        <v>35</v>
      </c>
      <c r="C31" s="122"/>
      <c r="D31" s="90">
        <f>F30</f>
        <v>25</v>
      </c>
      <c r="E31" s="91" t="s">
        <v>56</v>
      </c>
      <c r="F31" s="1236">
        <v>50</v>
      </c>
      <c r="G31" s="121" t="s">
        <v>21</v>
      </c>
      <c r="H31" s="2559">
        <v>8</v>
      </c>
      <c r="I31" s="2559"/>
      <c r="J31" s="2892">
        <f>(D31+F31)/2</f>
        <v>37.5</v>
      </c>
      <c r="K31" s="2893"/>
      <c r="L31" s="2302"/>
      <c r="M31" s="2494"/>
      <c r="O31" s="2317"/>
      <c r="P31" s="2318"/>
      <c r="Q31" s="2319"/>
      <c r="S31" s="119"/>
      <c r="T31" s="119"/>
    </row>
    <row r="32" spans="1:20" ht="12" customHeight="1">
      <c r="A32" s="2888"/>
      <c r="B32" s="2665"/>
      <c r="C32" s="120"/>
      <c r="D32" s="90">
        <f>F31</f>
        <v>50</v>
      </c>
      <c r="E32" s="91" t="s">
        <v>56</v>
      </c>
      <c r="F32" s="1236">
        <v>75</v>
      </c>
      <c r="G32" s="121" t="s">
        <v>23</v>
      </c>
      <c r="H32" s="2559">
        <v>8</v>
      </c>
      <c r="I32" s="2559"/>
      <c r="J32" s="2892">
        <f>(D32+F32)/2</f>
        <v>62.5</v>
      </c>
      <c r="K32" s="2893"/>
      <c r="L32" s="2302"/>
      <c r="M32" s="2494"/>
      <c r="O32" s="2317"/>
      <c r="P32" s="2318"/>
      <c r="Q32" s="2319"/>
      <c r="S32" s="119"/>
      <c r="T32" s="119"/>
    </row>
    <row r="33" spans="1:28" ht="12" customHeight="1">
      <c r="A33" s="2888"/>
      <c r="B33" s="2664" t="s">
        <v>34</v>
      </c>
      <c r="C33" s="122"/>
      <c r="D33" s="90">
        <f>F32</f>
        <v>75</v>
      </c>
      <c r="E33" s="91" t="s">
        <v>56</v>
      </c>
      <c r="F33" s="1236">
        <v>90</v>
      </c>
      <c r="G33" s="121" t="s">
        <v>25</v>
      </c>
      <c r="H33" s="2559">
        <v>13</v>
      </c>
      <c r="I33" s="2559"/>
      <c r="J33" s="2892">
        <f>(D33+F33)/2</f>
        <v>82.5</v>
      </c>
      <c r="K33" s="2893"/>
      <c r="L33" s="2302"/>
      <c r="M33" s="2494"/>
      <c r="O33" s="2317"/>
      <c r="P33" s="2318"/>
      <c r="Q33" s="2319"/>
      <c r="S33" s="431"/>
      <c r="T33" s="431"/>
      <c r="U33" s="23"/>
      <c r="V33" s="23"/>
      <c r="W33" s="23"/>
      <c r="X33" s="23"/>
      <c r="Y33" s="23"/>
      <c r="Z33" s="23"/>
      <c r="AA33" s="23"/>
      <c r="AB33" s="23"/>
    </row>
    <row r="34" spans="1:28" ht="12" customHeight="1">
      <c r="A34" s="2889"/>
      <c r="B34" s="2895"/>
      <c r="C34" s="123"/>
      <c r="D34" s="158">
        <f>F33</f>
        <v>90</v>
      </c>
      <c r="E34" s="570" t="s">
        <v>56</v>
      </c>
      <c r="F34" s="1237">
        <v>100</v>
      </c>
      <c r="G34" s="569" t="s">
        <v>27</v>
      </c>
      <c r="H34" s="2890">
        <v>13</v>
      </c>
      <c r="I34" s="2891"/>
      <c r="J34" s="2659">
        <f>(D34+F34)/2</f>
        <v>95</v>
      </c>
      <c r="K34" s="2660"/>
      <c r="L34" s="2304"/>
      <c r="M34" s="2495"/>
      <c r="O34" s="2320"/>
      <c r="P34" s="2321"/>
      <c r="Q34" s="2322"/>
      <c r="S34" s="10"/>
      <c r="T34" s="10"/>
      <c r="U34" s="10"/>
      <c r="V34" s="10"/>
      <c r="W34" s="10"/>
      <c r="X34" s="428"/>
      <c r="Y34" s="10"/>
      <c r="Z34" s="429"/>
      <c r="AA34" s="430"/>
      <c r="AB34" s="23"/>
    </row>
    <row r="35" spans="1:28" ht="12" customHeight="1" thickBot="1">
      <c r="A35" s="124"/>
      <c r="B35" s="2550" t="s">
        <v>233</v>
      </c>
      <c r="C35" s="2550"/>
      <c r="D35" s="2550"/>
      <c r="E35" s="2550"/>
      <c r="F35" s="2550"/>
      <c r="G35" s="2550"/>
      <c r="H35" s="2550"/>
      <c r="I35" s="2550"/>
      <c r="J35" s="2550"/>
      <c r="K35" s="2550"/>
      <c r="L35" s="2550"/>
      <c r="M35" s="2551"/>
      <c r="O35" s="125"/>
      <c r="P35" s="125"/>
      <c r="Q35" s="125"/>
      <c r="S35" s="26"/>
      <c r="T35" s="26"/>
    </row>
    <row r="36" spans="1:28" ht="12" customHeight="1" thickTop="1">
      <c r="A36" s="126" t="s">
        <v>6</v>
      </c>
      <c r="B36" s="2611" t="s">
        <v>11</v>
      </c>
      <c r="C36" s="2611"/>
      <c r="D36" s="1308"/>
      <c r="E36" s="1308"/>
      <c r="F36" s="1345"/>
      <c r="G36" s="127"/>
      <c r="H36" s="2666" t="s">
        <v>56</v>
      </c>
      <c r="I36" s="2295"/>
      <c r="J36" s="2613" t="s">
        <v>56</v>
      </c>
      <c r="K36" s="2618"/>
      <c r="L36" s="2552" t="s">
        <v>333</v>
      </c>
      <c r="M36" s="2553"/>
      <c r="S36" s="26"/>
      <c r="T36" s="26"/>
    </row>
    <row r="37" spans="1:28" ht="12" customHeight="1">
      <c r="A37" s="2809" t="s">
        <v>340</v>
      </c>
      <c r="B37" s="2894" t="s">
        <v>605</v>
      </c>
      <c r="C37" s="2807" t="s">
        <v>392</v>
      </c>
      <c r="D37" s="128"/>
      <c r="E37" s="128" t="s">
        <v>159</v>
      </c>
      <c r="F37" s="1238">
        <v>0.2</v>
      </c>
      <c r="G37" s="117" t="s">
        <v>16</v>
      </c>
      <c r="H37" s="2590" t="s">
        <v>229</v>
      </c>
      <c r="I37" s="2501"/>
      <c r="J37" s="2300" t="s">
        <v>229</v>
      </c>
      <c r="K37" s="2301"/>
      <c r="L37" s="2884">
        <f>F37/2/10^3</f>
        <v>1E-4</v>
      </c>
      <c r="M37" s="2885"/>
      <c r="O37" s="2314" t="s">
        <v>610</v>
      </c>
      <c r="P37" s="2315"/>
      <c r="Q37" s="2316"/>
    </row>
    <row r="38" spans="1:28" ht="12" customHeight="1">
      <c r="A38" s="2810"/>
      <c r="B38" s="2665"/>
      <c r="C38" s="2808"/>
      <c r="D38" s="129">
        <f t="shared" ref="D38:D43" si="2">F37</f>
        <v>0.2</v>
      </c>
      <c r="E38" s="130" t="s">
        <v>56</v>
      </c>
      <c r="F38" s="1239">
        <v>1</v>
      </c>
      <c r="G38" s="131" t="s">
        <v>18</v>
      </c>
      <c r="H38" s="2591"/>
      <c r="I38" s="2503"/>
      <c r="J38" s="2302"/>
      <c r="K38" s="2303"/>
      <c r="L38" s="2619">
        <f>(D38+F38)/2/10^3</f>
        <v>5.9999999999999995E-4</v>
      </c>
      <c r="M38" s="2620"/>
      <c r="O38" s="2317"/>
      <c r="P38" s="2318"/>
      <c r="Q38" s="2319"/>
      <c r="S38" s="132"/>
    </row>
    <row r="39" spans="1:28" ht="12" customHeight="1">
      <c r="A39" s="1264" t="s">
        <v>443</v>
      </c>
      <c r="B39" s="547" t="s">
        <v>606</v>
      </c>
      <c r="C39" s="133" t="s">
        <v>392</v>
      </c>
      <c r="D39" s="129">
        <f t="shared" si="2"/>
        <v>1</v>
      </c>
      <c r="E39" s="91" t="s">
        <v>56</v>
      </c>
      <c r="F39" s="1236">
        <v>5</v>
      </c>
      <c r="G39" s="121" t="s">
        <v>21</v>
      </c>
      <c r="H39" s="2591"/>
      <c r="I39" s="2503"/>
      <c r="J39" s="2302"/>
      <c r="K39" s="2303"/>
      <c r="L39" s="2619">
        <f>(D39+F39)/2/10^3</f>
        <v>3.0000000000000001E-3</v>
      </c>
      <c r="M39" s="2620"/>
      <c r="O39" s="2317"/>
      <c r="P39" s="2318"/>
      <c r="Q39" s="2319"/>
      <c r="S39" s="132"/>
    </row>
    <row r="40" spans="1:28" ht="12" customHeight="1">
      <c r="A40" s="1264" t="s">
        <v>797</v>
      </c>
      <c r="B40" s="547" t="s">
        <v>796</v>
      </c>
      <c r="C40" s="133" t="s">
        <v>392</v>
      </c>
      <c r="D40" s="129">
        <f t="shared" si="2"/>
        <v>5</v>
      </c>
      <c r="E40" s="568" t="s">
        <v>56</v>
      </c>
      <c r="F40" s="1236">
        <v>25</v>
      </c>
      <c r="G40" s="121" t="s">
        <v>23</v>
      </c>
      <c r="H40" s="2591"/>
      <c r="I40" s="2503"/>
      <c r="J40" s="2302"/>
      <c r="K40" s="2303"/>
      <c r="L40" s="2642">
        <f>(D40+F40)/2/10^3</f>
        <v>1.4999999999999999E-2</v>
      </c>
      <c r="M40" s="2643"/>
      <c r="O40" s="2317"/>
      <c r="P40" s="2318"/>
      <c r="Q40" s="2319"/>
      <c r="S40" s="432"/>
      <c r="T40" s="23"/>
      <c r="U40" s="23"/>
      <c r="V40" s="23"/>
      <c r="W40" s="23"/>
      <c r="X40" s="23"/>
      <c r="Y40" s="23"/>
      <c r="Z40" s="23"/>
      <c r="AA40" s="23"/>
      <c r="AB40" s="23"/>
    </row>
    <row r="41" spans="1:28" ht="12" customHeight="1">
      <c r="A41" s="1264" t="s">
        <v>798</v>
      </c>
      <c r="B41" s="547" t="s">
        <v>799</v>
      </c>
      <c r="C41" s="133"/>
      <c r="D41" s="129">
        <f t="shared" si="2"/>
        <v>25</v>
      </c>
      <c r="E41" s="568" t="s">
        <v>56</v>
      </c>
      <c r="F41" s="1236">
        <v>100</v>
      </c>
      <c r="G41" s="121" t="s">
        <v>25</v>
      </c>
      <c r="H41" s="2591"/>
      <c r="I41" s="2503"/>
      <c r="J41" s="2302"/>
      <c r="K41" s="2303"/>
      <c r="L41" s="2644">
        <f>(D41+F41)/2/10^3</f>
        <v>6.25E-2</v>
      </c>
      <c r="M41" s="2645"/>
      <c r="O41" s="2317"/>
      <c r="P41" s="2318"/>
      <c r="Q41" s="2319"/>
      <c r="S41" s="424"/>
      <c r="T41" s="424"/>
      <c r="U41" s="424"/>
      <c r="V41" s="424"/>
      <c r="W41" s="424"/>
      <c r="X41" s="424"/>
      <c r="Y41" s="424"/>
      <c r="Z41" s="424"/>
      <c r="AA41" s="424"/>
      <c r="AB41" s="23"/>
    </row>
    <row r="42" spans="1:28" ht="12" customHeight="1">
      <c r="A42" s="1264" t="s">
        <v>558</v>
      </c>
      <c r="B42" s="1309" t="s">
        <v>596</v>
      </c>
      <c r="C42" s="1348" t="s">
        <v>392</v>
      </c>
      <c r="D42" s="1347">
        <f t="shared" si="2"/>
        <v>100</v>
      </c>
      <c r="E42" s="1349" t="s">
        <v>56</v>
      </c>
      <c r="F42" s="1244">
        <v>500</v>
      </c>
      <c r="G42" s="1350" t="s">
        <v>27</v>
      </c>
      <c r="H42" s="2591"/>
      <c r="I42" s="2503"/>
      <c r="J42" s="2302"/>
      <c r="K42" s="2303"/>
      <c r="L42" s="2646">
        <f>(D42+F42)/2/10^3</f>
        <v>0.3</v>
      </c>
      <c r="M42" s="2647"/>
      <c r="O42" s="2320"/>
      <c r="P42" s="2321"/>
      <c r="Q42" s="2322"/>
      <c r="S42" s="433"/>
      <c r="T42" s="433"/>
      <c r="U42" s="433"/>
      <c r="V42" s="433"/>
      <c r="W42" s="433"/>
      <c r="X42" s="433"/>
      <c r="Y42" s="433"/>
      <c r="Z42" s="433"/>
      <c r="AA42" s="433"/>
      <c r="AB42" s="434"/>
    </row>
    <row r="43" spans="1:28" ht="12" customHeight="1">
      <c r="A43" s="1346" t="s">
        <v>442</v>
      </c>
      <c r="B43" s="134" t="s">
        <v>597</v>
      </c>
      <c r="C43" s="1348" t="s">
        <v>392</v>
      </c>
      <c r="D43" s="158">
        <f t="shared" si="2"/>
        <v>500</v>
      </c>
      <c r="E43" s="135" t="s">
        <v>56</v>
      </c>
      <c r="F43" s="1237">
        <v>2500</v>
      </c>
      <c r="G43" s="569"/>
      <c r="H43" s="2603"/>
      <c r="I43" s="2604"/>
      <c r="J43" s="2640"/>
      <c r="K43" s="2641"/>
      <c r="L43" s="2638">
        <v>2.5</v>
      </c>
      <c r="M43" s="2639"/>
      <c r="O43" s="40"/>
      <c r="P43" s="40"/>
      <c r="Q43" s="40"/>
      <c r="S43" s="433"/>
      <c r="T43" s="433"/>
      <c r="U43" s="433"/>
      <c r="V43" s="433"/>
      <c r="W43" s="433"/>
      <c r="X43" s="433"/>
      <c r="Y43" s="433"/>
      <c r="Z43" s="433"/>
      <c r="AA43" s="433"/>
      <c r="AB43" s="434"/>
    </row>
    <row r="44" spans="1:28" ht="12.75" customHeight="1" thickBot="1">
      <c r="A44" s="136"/>
      <c r="B44" s="2550" t="s">
        <v>249</v>
      </c>
      <c r="C44" s="2550"/>
      <c r="D44" s="2550"/>
      <c r="E44" s="2550"/>
      <c r="F44" s="2550"/>
      <c r="G44" s="2550"/>
      <c r="H44" s="2550"/>
      <c r="I44" s="2550"/>
      <c r="J44" s="2550"/>
      <c r="K44" s="2550"/>
      <c r="L44" s="2550"/>
      <c r="M44" s="2551"/>
      <c r="S44" s="435"/>
      <c r="T44" s="435"/>
      <c r="U44" s="435"/>
      <c r="V44" s="435"/>
      <c r="W44" s="435"/>
      <c r="X44" s="435"/>
      <c r="Y44" s="435"/>
      <c r="Z44" s="435"/>
      <c r="AA44" s="435"/>
      <c r="AB44" s="434"/>
    </row>
    <row r="45" spans="1:28" ht="12.75" customHeight="1" thickTop="1">
      <c r="A45" s="137" t="s">
        <v>7</v>
      </c>
      <c r="B45" s="138" t="s">
        <v>499</v>
      </c>
      <c r="C45" s="139"/>
      <c r="D45" s="2613" t="s">
        <v>498</v>
      </c>
      <c r="E45" s="2615"/>
      <c r="F45" s="2616"/>
      <c r="G45" s="140"/>
      <c r="H45" s="2554" t="s">
        <v>56</v>
      </c>
      <c r="I45" s="2555"/>
      <c r="J45" s="2661" t="s">
        <v>56</v>
      </c>
      <c r="K45" s="2555"/>
      <c r="L45" s="2661" t="s">
        <v>56</v>
      </c>
      <c r="M45" s="2886"/>
      <c r="S45" s="436"/>
      <c r="T45" s="436"/>
      <c r="U45" s="436"/>
      <c r="V45" s="433"/>
      <c r="W45" s="433"/>
      <c r="X45" s="433"/>
      <c r="Y45" s="433"/>
      <c r="Z45" s="433"/>
      <c r="AA45" s="433"/>
      <c r="AB45" s="23"/>
    </row>
    <row r="46" spans="1:28" ht="12.75" customHeight="1">
      <c r="A46" s="2804"/>
      <c r="B46" s="39" t="s">
        <v>335</v>
      </c>
      <c r="C46" s="1240">
        <v>50</v>
      </c>
      <c r="D46" s="116"/>
      <c r="E46" s="117" t="s">
        <v>158</v>
      </c>
      <c r="F46" s="1238">
        <v>40</v>
      </c>
      <c r="G46" s="118" t="s">
        <v>16</v>
      </c>
      <c r="H46" s="2632" t="s">
        <v>229</v>
      </c>
      <c r="I46" s="2501"/>
      <c r="J46" s="2300" t="s">
        <v>229</v>
      </c>
      <c r="K46" s="2301"/>
      <c r="L46" s="2621" t="s">
        <v>229</v>
      </c>
      <c r="M46" s="2622"/>
      <c r="O46" s="2314" t="s">
        <v>296</v>
      </c>
      <c r="P46" s="2315"/>
      <c r="Q46" s="2316"/>
      <c r="S46" s="6"/>
      <c r="T46" s="6"/>
      <c r="U46" s="6"/>
      <c r="V46" s="420"/>
      <c r="W46" s="420"/>
      <c r="X46" s="420"/>
      <c r="Y46" s="421"/>
      <c r="Z46" s="421"/>
      <c r="AA46" s="421"/>
      <c r="AB46" s="23"/>
    </row>
    <row r="47" spans="1:28" ht="12.75" customHeight="1">
      <c r="A47" s="2805"/>
      <c r="B47" s="2673" t="s">
        <v>156</v>
      </c>
      <c r="C47" s="1241">
        <f>(D47+F47)/2</f>
        <v>37.5</v>
      </c>
      <c r="D47" s="90">
        <f>F46</f>
        <v>40</v>
      </c>
      <c r="E47" s="91" t="s">
        <v>56</v>
      </c>
      <c r="F47" s="1236">
        <v>35</v>
      </c>
      <c r="G47" s="121" t="s">
        <v>18</v>
      </c>
      <c r="H47" s="2633"/>
      <c r="I47" s="2503"/>
      <c r="J47" s="2302"/>
      <c r="K47" s="2303"/>
      <c r="L47" s="2623"/>
      <c r="M47" s="2624"/>
      <c r="O47" s="2317"/>
      <c r="P47" s="2318"/>
      <c r="Q47" s="2319"/>
      <c r="S47" s="23"/>
      <c r="T47" s="23"/>
      <c r="U47" s="23"/>
      <c r="V47" s="23"/>
      <c r="W47" s="23"/>
      <c r="X47" s="23"/>
      <c r="Y47" s="23"/>
      <c r="Z47" s="23"/>
      <c r="AA47" s="23"/>
      <c r="AB47" s="23"/>
    </row>
    <row r="48" spans="1:28" ht="12.75" customHeight="1">
      <c r="A48" s="2805"/>
      <c r="B48" s="2674"/>
      <c r="C48" s="1241">
        <f>(D48+F48)/2</f>
        <v>30</v>
      </c>
      <c r="D48" s="90">
        <f>F47</f>
        <v>35</v>
      </c>
      <c r="E48" s="91" t="s">
        <v>56</v>
      </c>
      <c r="F48" s="1236">
        <v>25</v>
      </c>
      <c r="G48" s="121" t="s">
        <v>21</v>
      </c>
      <c r="H48" s="2633"/>
      <c r="I48" s="2503"/>
      <c r="J48" s="2302"/>
      <c r="K48" s="2303"/>
      <c r="L48" s="2623"/>
      <c r="M48" s="2624"/>
      <c r="O48" s="2317"/>
      <c r="P48" s="2318"/>
      <c r="Q48" s="2319"/>
    </row>
    <row r="49" spans="1:27" ht="12.75" customHeight="1">
      <c r="A49" s="2805"/>
      <c r="B49" s="2673" t="s">
        <v>334</v>
      </c>
      <c r="C49" s="1241">
        <f>(D49+F49)/2</f>
        <v>20</v>
      </c>
      <c r="D49" s="90">
        <f>F48</f>
        <v>25</v>
      </c>
      <c r="E49" s="91" t="s">
        <v>56</v>
      </c>
      <c r="F49" s="1236">
        <v>15</v>
      </c>
      <c r="G49" s="121" t="s">
        <v>23</v>
      </c>
      <c r="H49" s="2633"/>
      <c r="I49" s="2503"/>
      <c r="J49" s="2302"/>
      <c r="K49" s="2303"/>
      <c r="L49" s="2623"/>
      <c r="M49" s="2624"/>
      <c r="O49" s="2317"/>
      <c r="P49" s="2318"/>
      <c r="Q49" s="2319"/>
    </row>
    <row r="50" spans="1:27" ht="12.75" customHeight="1">
      <c r="A50" s="2805"/>
      <c r="B50" s="2674"/>
      <c r="C50" s="1241">
        <f>(D50+F50)/2</f>
        <v>10</v>
      </c>
      <c r="D50" s="90">
        <f>F49</f>
        <v>15</v>
      </c>
      <c r="E50" s="91" t="s">
        <v>56</v>
      </c>
      <c r="F50" s="1236">
        <v>5</v>
      </c>
      <c r="G50" s="121" t="s">
        <v>25</v>
      </c>
      <c r="H50" s="2633"/>
      <c r="I50" s="2503"/>
      <c r="J50" s="2302"/>
      <c r="K50" s="2303"/>
      <c r="L50" s="2623"/>
      <c r="M50" s="2624"/>
      <c r="O50" s="2317"/>
      <c r="P50" s="2318"/>
      <c r="Q50" s="2319"/>
    </row>
    <row r="51" spans="1:27" ht="12.75" customHeight="1">
      <c r="A51" s="2806"/>
      <c r="B51" s="571" t="s">
        <v>157</v>
      </c>
      <c r="C51" s="1242">
        <f>(D51+F51)/2</f>
        <v>3</v>
      </c>
      <c r="D51" s="158">
        <f>F50</f>
        <v>5</v>
      </c>
      <c r="E51" s="570" t="s">
        <v>56</v>
      </c>
      <c r="F51" s="1237">
        <v>1</v>
      </c>
      <c r="G51" s="569" t="s">
        <v>27</v>
      </c>
      <c r="H51" s="2634"/>
      <c r="I51" s="2635"/>
      <c r="J51" s="2304"/>
      <c r="K51" s="2305"/>
      <c r="L51" s="2623"/>
      <c r="M51" s="2624"/>
      <c r="O51" s="2320"/>
      <c r="P51" s="2321"/>
      <c r="Q51" s="2322"/>
      <c r="Z51" s="2269"/>
      <c r="AA51" s="2269"/>
    </row>
    <row r="52" spans="1:27" ht="12.75" customHeight="1" thickBot="1">
      <c r="A52" s="141"/>
      <c r="B52" s="142" t="s">
        <v>336</v>
      </c>
      <c r="C52" s="143"/>
      <c r="D52" s="143"/>
      <c r="E52" s="143"/>
      <c r="F52" s="143"/>
      <c r="G52" s="144"/>
      <c r="H52" s="2601"/>
      <c r="I52" s="2601"/>
      <c r="J52" s="2657"/>
      <c r="K52" s="2658"/>
      <c r="L52" s="2636"/>
      <c r="M52" s="2637"/>
      <c r="O52" s="40"/>
      <c r="P52" s="40"/>
      <c r="Q52" s="40"/>
      <c r="R52" s="75"/>
    </row>
    <row r="53" spans="1:27" ht="12" customHeight="1" thickTop="1">
      <c r="A53" s="126" t="s">
        <v>256</v>
      </c>
      <c r="B53" s="2611"/>
      <c r="C53" s="2612"/>
      <c r="D53" s="2613" t="s">
        <v>498</v>
      </c>
      <c r="E53" s="2615"/>
      <c r="F53" s="2616"/>
      <c r="G53" s="146"/>
      <c r="H53" s="2617" t="s">
        <v>37</v>
      </c>
      <c r="I53" s="2618"/>
      <c r="J53" s="2613" t="s">
        <v>56</v>
      </c>
      <c r="K53" s="2618"/>
      <c r="L53" s="2613" t="s">
        <v>56</v>
      </c>
      <c r="M53" s="2614"/>
      <c r="N53" s="147"/>
      <c r="O53" s="148"/>
      <c r="P53" s="40"/>
      <c r="Q53" s="40"/>
    </row>
    <row r="54" spans="1:27" ht="12" customHeight="1">
      <c r="A54" s="85"/>
      <c r="B54" s="149" t="s">
        <v>38</v>
      </c>
      <c r="C54" s="416"/>
      <c r="D54" s="150" t="s">
        <v>538</v>
      </c>
      <c r="E54" s="151" t="s">
        <v>158</v>
      </c>
      <c r="F54" s="1235">
        <f>F55</f>
        <v>2</v>
      </c>
      <c r="G54" s="152"/>
      <c r="H54" s="2627">
        <v>20</v>
      </c>
      <c r="I54" s="2628"/>
      <c r="J54" s="2300" t="s">
        <v>229</v>
      </c>
      <c r="K54" s="2301"/>
      <c r="L54" s="2300" t="s">
        <v>229</v>
      </c>
      <c r="M54" s="2493"/>
      <c r="N54" s="147"/>
      <c r="O54" s="2314" t="s">
        <v>297</v>
      </c>
      <c r="P54" s="2315"/>
      <c r="Q54" s="2316"/>
    </row>
    <row r="55" spans="1:27" ht="12" customHeight="1">
      <c r="A55" s="85"/>
      <c r="B55" s="723" t="s">
        <v>39</v>
      </c>
      <c r="C55" s="724"/>
      <c r="D55" s="154">
        <f>F56</f>
        <v>0.6</v>
      </c>
      <c r="E55" s="155" t="s">
        <v>56</v>
      </c>
      <c r="F55" s="1236">
        <v>2</v>
      </c>
      <c r="G55" s="156"/>
      <c r="H55" s="2557">
        <v>15</v>
      </c>
      <c r="I55" s="2558"/>
      <c r="J55" s="2302"/>
      <c r="K55" s="2303"/>
      <c r="L55" s="2302"/>
      <c r="M55" s="2494"/>
      <c r="N55" s="147"/>
      <c r="O55" s="2317"/>
      <c r="P55" s="2318"/>
      <c r="Q55" s="2319"/>
    </row>
    <row r="56" spans="1:27" ht="12" customHeight="1">
      <c r="A56" s="85"/>
      <c r="B56" s="723" t="s">
        <v>40</v>
      </c>
      <c r="C56" s="724"/>
      <c r="D56" s="154">
        <f>F57</f>
        <v>0.2</v>
      </c>
      <c r="E56" s="155" t="s">
        <v>56</v>
      </c>
      <c r="F56" s="1236">
        <v>0.6</v>
      </c>
      <c r="G56" s="156"/>
      <c r="H56" s="2557">
        <v>10</v>
      </c>
      <c r="I56" s="2558"/>
      <c r="J56" s="2302"/>
      <c r="K56" s="2303"/>
      <c r="L56" s="2302"/>
      <c r="M56" s="2494"/>
      <c r="N56" s="147"/>
      <c r="O56" s="2317"/>
      <c r="P56" s="2318"/>
      <c r="Q56" s="2319"/>
    </row>
    <row r="57" spans="1:27" ht="12" customHeight="1">
      <c r="A57" s="93"/>
      <c r="B57" s="723" t="s">
        <v>41</v>
      </c>
      <c r="C57" s="724"/>
      <c r="D57" s="154">
        <f>F58</f>
        <v>0.06</v>
      </c>
      <c r="E57" s="155" t="s">
        <v>56</v>
      </c>
      <c r="F57" s="1236">
        <v>0.2</v>
      </c>
      <c r="G57" s="156"/>
      <c r="H57" s="2557">
        <v>8</v>
      </c>
      <c r="I57" s="2558"/>
      <c r="J57" s="2302"/>
      <c r="K57" s="2303"/>
      <c r="L57" s="2302"/>
      <c r="M57" s="2494"/>
      <c r="N57" s="147"/>
      <c r="O57" s="2317"/>
      <c r="P57" s="2318"/>
      <c r="Q57" s="2319"/>
    </row>
    <row r="58" spans="1:27" ht="12" customHeight="1">
      <c r="A58" s="157"/>
      <c r="B58" s="134" t="s">
        <v>42</v>
      </c>
      <c r="C58" s="567"/>
      <c r="D58" s="158"/>
      <c r="E58" s="159" t="s">
        <v>159</v>
      </c>
      <c r="F58" s="1237">
        <v>0.06</v>
      </c>
      <c r="G58" s="160"/>
      <c r="H58" s="2655">
        <v>5</v>
      </c>
      <c r="I58" s="2656"/>
      <c r="J58" s="2304"/>
      <c r="K58" s="2305"/>
      <c r="L58" s="2304"/>
      <c r="M58" s="2495"/>
      <c r="N58" s="147"/>
      <c r="O58" s="2320"/>
      <c r="P58" s="2321"/>
      <c r="Q58" s="2322"/>
    </row>
    <row r="59" spans="1:27" ht="15" customHeight="1" thickBot="1">
      <c r="A59" s="161"/>
      <c r="B59" s="2629" t="s">
        <v>217</v>
      </c>
      <c r="C59" s="2629"/>
      <c r="D59" s="2629"/>
      <c r="E59" s="2629"/>
      <c r="F59" s="2629"/>
      <c r="G59" s="2629"/>
      <c r="H59" s="2629"/>
      <c r="I59" s="2629"/>
      <c r="J59" s="2629"/>
      <c r="K59" s="2629"/>
      <c r="L59" s="2629"/>
      <c r="M59" s="2630"/>
      <c r="N59" s="147"/>
      <c r="O59" s="162"/>
      <c r="P59" s="162"/>
      <c r="Q59" s="23"/>
    </row>
    <row r="60" spans="1:27" ht="15" customHeight="1" thickBot="1">
      <c r="A60" s="163"/>
      <c r="B60" s="164"/>
      <c r="C60" s="164"/>
      <c r="D60" s="164"/>
      <c r="E60" s="164"/>
      <c r="F60" s="164"/>
      <c r="G60" s="164"/>
      <c r="H60" s="164"/>
      <c r="I60" s="164"/>
      <c r="J60" s="164"/>
      <c r="K60" s="164"/>
      <c r="L60" s="164"/>
      <c r="M60" s="164"/>
      <c r="N60" s="26"/>
      <c r="O60" s="162"/>
      <c r="P60" s="162"/>
      <c r="Q60" s="23"/>
    </row>
    <row r="61" spans="1:27" ht="12" customHeight="1">
      <c r="A61" s="83" t="s">
        <v>171</v>
      </c>
      <c r="B61" s="468" t="s">
        <v>174</v>
      </c>
      <c r="C61" s="468"/>
      <c r="D61" s="468"/>
      <c r="E61" s="468"/>
      <c r="F61" s="469"/>
      <c r="G61" s="466" t="s">
        <v>257</v>
      </c>
      <c r="H61" s="2510" t="s">
        <v>369</v>
      </c>
      <c r="I61" s="2342"/>
      <c r="J61" s="2335" t="s">
        <v>0</v>
      </c>
      <c r="K61" s="2342"/>
      <c r="L61" s="2335" t="s">
        <v>1</v>
      </c>
      <c r="M61" s="2336"/>
      <c r="N61" s="26"/>
      <c r="O61" s="2870" t="s">
        <v>668</v>
      </c>
      <c r="P61" s="2871"/>
      <c r="Q61" s="2872"/>
    </row>
    <row r="62" spans="1:27" ht="12" customHeight="1">
      <c r="A62" s="84" t="s">
        <v>2</v>
      </c>
      <c r="B62" s="722" t="s">
        <v>667</v>
      </c>
      <c r="C62" s="165"/>
      <c r="D62" s="165"/>
      <c r="E62" s="165"/>
      <c r="F62" s="166" t="s">
        <v>238</v>
      </c>
      <c r="G62" s="467"/>
      <c r="H62" s="2631" t="s">
        <v>77</v>
      </c>
      <c r="I62" s="2507"/>
      <c r="J62" s="2506" t="s">
        <v>56</v>
      </c>
      <c r="K62" s="2507"/>
      <c r="L62" s="1142" t="s">
        <v>754</v>
      </c>
      <c r="M62" s="465" t="s">
        <v>236</v>
      </c>
      <c r="N62" s="26"/>
      <c r="O62" s="2873"/>
      <c r="P62" s="2874"/>
      <c r="Q62" s="2875"/>
    </row>
    <row r="63" spans="1:27" ht="12" customHeight="1">
      <c r="A63" s="1253" t="s">
        <v>634</v>
      </c>
      <c r="B63" s="2625" t="s">
        <v>237</v>
      </c>
      <c r="C63" s="2626"/>
      <c r="D63" s="1267" t="s">
        <v>731</v>
      </c>
      <c r="E63" s="470"/>
      <c r="F63" s="471"/>
      <c r="G63" s="167" t="s">
        <v>16</v>
      </c>
      <c r="H63" s="2590" t="s">
        <v>229</v>
      </c>
      <c r="I63" s="2501"/>
      <c r="J63" s="2500" t="s">
        <v>229</v>
      </c>
      <c r="K63" s="2501"/>
      <c r="L63" s="168" t="s">
        <v>740</v>
      </c>
      <c r="M63" s="1210">
        <v>27</v>
      </c>
      <c r="O63" s="2873"/>
      <c r="P63" s="2874"/>
      <c r="Q63" s="2875"/>
    </row>
    <row r="64" spans="1:27" ht="12" customHeight="1">
      <c r="A64" s="1254" t="s">
        <v>635</v>
      </c>
      <c r="B64" s="2605" t="s">
        <v>736</v>
      </c>
      <c r="C64" s="2606"/>
      <c r="D64" s="1268" t="s">
        <v>732</v>
      </c>
      <c r="E64" s="472"/>
      <c r="F64" s="473"/>
      <c r="G64" s="1490" t="s">
        <v>18</v>
      </c>
      <c r="H64" s="2591"/>
      <c r="I64" s="2503"/>
      <c r="J64" s="2502"/>
      <c r="K64" s="2503"/>
      <c r="L64" s="169" t="s">
        <v>741</v>
      </c>
      <c r="M64" s="1489">
        <v>34</v>
      </c>
      <c r="O64" s="2873"/>
      <c r="P64" s="2874"/>
      <c r="Q64" s="2875"/>
    </row>
    <row r="65" spans="1:32" ht="12" customHeight="1">
      <c r="A65" s="1254" t="s">
        <v>636</v>
      </c>
      <c r="B65" s="2605" t="s">
        <v>737</v>
      </c>
      <c r="C65" s="2606"/>
      <c r="D65" s="1268" t="s">
        <v>733</v>
      </c>
      <c r="E65" s="472"/>
      <c r="F65" s="473"/>
      <c r="G65" s="170" t="s">
        <v>21</v>
      </c>
      <c r="H65" s="2591"/>
      <c r="I65" s="2503"/>
      <c r="J65" s="2502"/>
      <c r="K65" s="2503"/>
      <c r="L65" s="169" t="s">
        <v>742</v>
      </c>
      <c r="M65" s="1211">
        <v>50</v>
      </c>
      <c r="O65" s="2876"/>
      <c r="P65" s="2877"/>
      <c r="Q65" s="2878"/>
      <c r="T65" s="1266" t="s">
        <v>782</v>
      </c>
    </row>
    <row r="66" spans="1:32" ht="12" customHeight="1">
      <c r="A66" s="1255" t="s">
        <v>637</v>
      </c>
      <c r="B66" s="2605" t="s">
        <v>738</v>
      </c>
      <c r="C66" s="2606"/>
      <c r="D66" s="1268" t="s">
        <v>734</v>
      </c>
      <c r="E66" s="472"/>
      <c r="F66" s="473"/>
      <c r="G66" s="170" t="s">
        <v>23</v>
      </c>
      <c r="H66" s="2591"/>
      <c r="I66" s="2503"/>
      <c r="J66" s="2502"/>
      <c r="K66" s="2503"/>
      <c r="L66" s="169" t="s">
        <v>743</v>
      </c>
      <c r="M66" s="1211">
        <v>100</v>
      </c>
      <c r="O66" s="162"/>
      <c r="P66" s="162"/>
      <c r="Q66" s="23"/>
    </row>
    <row r="67" spans="1:32" ht="12" customHeight="1" thickBot="1">
      <c r="A67" s="1256" t="s">
        <v>830</v>
      </c>
      <c r="B67" s="2608" t="s">
        <v>739</v>
      </c>
      <c r="C67" s="2609"/>
      <c r="D67" s="1269" t="s">
        <v>735</v>
      </c>
      <c r="E67" s="474"/>
      <c r="F67" s="475"/>
      <c r="G67" s="171" t="s">
        <v>25</v>
      </c>
      <c r="H67" s="2592"/>
      <c r="I67" s="2505"/>
      <c r="J67" s="2504"/>
      <c r="K67" s="2505"/>
      <c r="L67" s="172" t="s">
        <v>744</v>
      </c>
      <c r="M67" s="1212">
        <v>300</v>
      </c>
      <c r="O67" s="2171" t="s">
        <v>489</v>
      </c>
      <c r="P67" s="2171"/>
      <c r="Q67" s="2171"/>
      <c r="R67" s="2171"/>
      <c r="S67" s="2171"/>
      <c r="T67" s="2171"/>
      <c r="U67" s="2171"/>
      <c r="V67" s="2171"/>
      <c r="W67" s="2171"/>
    </row>
    <row r="68" spans="1:32" ht="12" customHeight="1" thickTop="1">
      <c r="A68" s="126" t="s">
        <v>3</v>
      </c>
      <c r="B68" s="2610" t="s">
        <v>234</v>
      </c>
      <c r="C68" s="2610"/>
      <c r="D68" s="173"/>
      <c r="E68" s="173"/>
      <c r="F68" s="174"/>
      <c r="G68" s="175"/>
      <c r="H68" s="2589" t="s">
        <v>56</v>
      </c>
      <c r="I68" s="2588"/>
      <c r="J68" s="2587" t="s">
        <v>43</v>
      </c>
      <c r="K68" s="2588"/>
      <c r="L68" s="2526" t="s">
        <v>44</v>
      </c>
      <c r="M68" s="2527"/>
      <c r="N68" s="176"/>
      <c r="O68" s="2533" t="s">
        <v>247</v>
      </c>
      <c r="P68" s="2534"/>
      <c r="Q68" s="2535"/>
      <c r="R68" s="2528" t="s">
        <v>298</v>
      </c>
      <c r="S68" s="2529"/>
      <c r="T68" s="2529"/>
      <c r="U68" s="2529"/>
      <c r="V68" s="2530"/>
    </row>
    <row r="69" spans="1:32" ht="12" customHeight="1">
      <c r="A69" s="1248" t="s">
        <v>576</v>
      </c>
      <c r="B69" s="2784" t="s">
        <v>45</v>
      </c>
      <c r="C69" s="2785"/>
      <c r="D69" s="177"/>
      <c r="E69" s="177"/>
      <c r="F69" s="178"/>
      <c r="G69" s="179" t="s">
        <v>16</v>
      </c>
      <c r="H69" s="2777" t="s">
        <v>229</v>
      </c>
      <c r="I69" s="2778"/>
      <c r="J69" s="2496">
        <v>0.75</v>
      </c>
      <c r="K69" s="2607"/>
      <c r="L69" s="2496">
        <v>6</v>
      </c>
      <c r="M69" s="2497"/>
      <c r="N69" s="62"/>
      <c r="O69" s="1214">
        <v>15</v>
      </c>
      <c r="P69" s="180" t="s">
        <v>292</v>
      </c>
      <c r="Q69" s="181"/>
      <c r="R69" s="182" t="str">
        <f>B69</f>
        <v>No or few joints</v>
      </c>
      <c r="S69" s="182"/>
      <c r="T69" s="182"/>
      <c r="U69" s="183"/>
      <c r="V69" s="184"/>
      <c r="W69" s="58"/>
    </row>
    <row r="70" spans="1:32" ht="12" customHeight="1">
      <c r="A70" s="1248" t="s">
        <v>46</v>
      </c>
      <c r="B70" s="2597" t="s">
        <v>46</v>
      </c>
      <c r="C70" s="2598"/>
      <c r="D70" s="185"/>
      <c r="E70" s="185"/>
      <c r="F70" s="186"/>
      <c r="G70" s="1175" t="s">
        <v>18</v>
      </c>
      <c r="H70" s="2779"/>
      <c r="I70" s="2780"/>
      <c r="J70" s="2337">
        <v>2</v>
      </c>
      <c r="K70" s="2338"/>
      <c r="L70" s="2337">
        <v>3</v>
      </c>
      <c r="M70" s="2291"/>
      <c r="O70" s="1215">
        <v>5</v>
      </c>
      <c r="P70" s="188" t="s">
        <v>56</v>
      </c>
      <c r="Q70" s="189">
        <f t="shared" ref="Q70:Q76" si="3">O69</f>
        <v>15</v>
      </c>
      <c r="R70" s="57" t="str">
        <f t="shared" ref="R70:R76" si="4">B70</f>
        <v>1  joint set</v>
      </c>
      <c r="S70" s="57"/>
      <c r="T70" s="57"/>
      <c r="U70" s="190"/>
      <c r="V70" s="191"/>
      <c r="W70" s="58"/>
    </row>
    <row r="71" spans="1:32" ht="12" customHeight="1">
      <c r="A71" s="1248" t="s">
        <v>577</v>
      </c>
      <c r="B71" s="2597" t="s">
        <v>47</v>
      </c>
      <c r="C71" s="2598"/>
      <c r="D71" s="185"/>
      <c r="E71" s="185"/>
      <c r="F71" s="186"/>
      <c r="G71" s="1175" t="s">
        <v>21</v>
      </c>
      <c r="H71" s="2779"/>
      <c r="I71" s="2780"/>
      <c r="J71" s="2337">
        <v>3</v>
      </c>
      <c r="K71" s="2338"/>
      <c r="L71" s="2337">
        <v>2</v>
      </c>
      <c r="M71" s="2291"/>
      <c r="O71" s="1215">
        <v>1</v>
      </c>
      <c r="P71" s="188" t="s">
        <v>56</v>
      </c>
      <c r="Q71" s="189">
        <f t="shared" si="3"/>
        <v>5</v>
      </c>
      <c r="R71" s="57" t="str">
        <f t="shared" si="4"/>
        <v>1  joint set + random joints</v>
      </c>
      <c r="S71" s="57"/>
      <c r="T71" s="57"/>
      <c r="U71" s="190"/>
      <c r="V71" s="191"/>
    </row>
    <row r="72" spans="1:32" ht="12" customHeight="1">
      <c r="A72" s="1248" t="s">
        <v>360</v>
      </c>
      <c r="B72" s="2597" t="s">
        <v>48</v>
      </c>
      <c r="C72" s="2598"/>
      <c r="D72" s="185"/>
      <c r="E72" s="185"/>
      <c r="F72" s="186"/>
      <c r="G72" s="1175" t="s">
        <v>23</v>
      </c>
      <c r="H72" s="2779"/>
      <c r="I72" s="2780"/>
      <c r="J72" s="2337">
        <v>4</v>
      </c>
      <c r="K72" s="2338"/>
      <c r="L72" s="2337">
        <v>1.5</v>
      </c>
      <c r="M72" s="2291"/>
      <c r="O72" s="1215">
        <v>0.1</v>
      </c>
      <c r="P72" s="188" t="s">
        <v>56</v>
      </c>
      <c r="Q72" s="189">
        <f t="shared" si="3"/>
        <v>1</v>
      </c>
      <c r="R72" s="57" t="str">
        <f t="shared" si="4"/>
        <v>2  joint sets</v>
      </c>
      <c r="S72" s="57"/>
      <c r="T72" s="57"/>
      <c r="U72" s="190"/>
      <c r="V72" s="191"/>
      <c r="W72" s="58"/>
    </row>
    <row r="73" spans="1:32" ht="12" customHeight="1">
      <c r="A73" s="1248" t="s">
        <v>578</v>
      </c>
      <c r="B73" s="2597" t="s">
        <v>49</v>
      </c>
      <c r="C73" s="2598"/>
      <c r="D73" s="185"/>
      <c r="E73" s="185"/>
      <c r="F73" s="186"/>
      <c r="G73" s="1175" t="s">
        <v>25</v>
      </c>
      <c r="H73" s="2779"/>
      <c r="I73" s="2780"/>
      <c r="J73" s="2337">
        <v>6</v>
      </c>
      <c r="K73" s="2338"/>
      <c r="L73" s="2337">
        <v>1.2</v>
      </c>
      <c r="M73" s="2291"/>
      <c r="O73" s="1215">
        <v>0.01</v>
      </c>
      <c r="P73" s="188" t="s">
        <v>56</v>
      </c>
      <c r="Q73" s="189">
        <f t="shared" si="3"/>
        <v>0.1</v>
      </c>
      <c r="R73" s="57" t="str">
        <f t="shared" si="4"/>
        <v>2  joint sets + random joints</v>
      </c>
      <c r="S73" s="57"/>
      <c r="T73" s="57"/>
      <c r="U73" s="190"/>
      <c r="V73" s="191"/>
    </row>
    <row r="74" spans="1:32" ht="12" customHeight="1">
      <c r="A74" s="1248" t="s">
        <v>339</v>
      </c>
      <c r="B74" s="2597" t="s">
        <v>50</v>
      </c>
      <c r="C74" s="2598"/>
      <c r="D74" s="185"/>
      <c r="E74" s="185"/>
      <c r="F74" s="186"/>
      <c r="G74" s="1175" t="s">
        <v>27</v>
      </c>
      <c r="H74" s="2779"/>
      <c r="I74" s="2780"/>
      <c r="J74" s="2337">
        <v>9</v>
      </c>
      <c r="K74" s="2338"/>
      <c r="L74" s="2337">
        <v>1</v>
      </c>
      <c r="M74" s="2291"/>
      <c r="O74" s="1215">
        <v>1E-3</v>
      </c>
      <c r="P74" s="188" t="s">
        <v>56</v>
      </c>
      <c r="Q74" s="189">
        <f t="shared" si="3"/>
        <v>0.01</v>
      </c>
      <c r="R74" s="57" t="str">
        <f t="shared" si="4"/>
        <v>3  joint sets</v>
      </c>
      <c r="S74" s="57"/>
      <c r="T74" s="57"/>
      <c r="U74" s="190"/>
      <c r="V74" s="192"/>
      <c r="W74" s="58"/>
    </row>
    <row r="75" spans="1:32" ht="12" customHeight="1">
      <c r="A75" s="1248" t="s">
        <v>579</v>
      </c>
      <c r="B75" s="2597" t="s">
        <v>51</v>
      </c>
      <c r="C75" s="2598"/>
      <c r="D75" s="185"/>
      <c r="E75" s="185"/>
      <c r="F75" s="186"/>
      <c r="G75" s="1175" t="s">
        <v>29</v>
      </c>
      <c r="H75" s="2779"/>
      <c r="I75" s="2780"/>
      <c r="J75" s="2337">
        <v>12</v>
      </c>
      <c r="K75" s="2338"/>
      <c r="L75" s="2337">
        <v>0.85</v>
      </c>
      <c r="M75" s="2291"/>
      <c r="O75" s="1215">
        <v>1E-4</v>
      </c>
      <c r="P75" s="188" t="s">
        <v>56</v>
      </c>
      <c r="Q75" s="189">
        <f t="shared" si="3"/>
        <v>1E-3</v>
      </c>
      <c r="R75" s="57" t="str">
        <f t="shared" si="4"/>
        <v>3  joint sets + random joints</v>
      </c>
      <c r="S75" s="57"/>
      <c r="T75" s="57"/>
      <c r="U75" s="190"/>
      <c r="V75" s="192"/>
      <c r="W75" s="58"/>
    </row>
    <row r="76" spans="1:32" ht="12" customHeight="1" thickBot="1">
      <c r="A76" s="1257" t="s">
        <v>580</v>
      </c>
      <c r="B76" s="2597" t="s">
        <v>53</v>
      </c>
      <c r="C76" s="2598"/>
      <c r="D76" s="185"/>
      <c r="E76" s="185"/>
      <c r="F76" s="193"/>
      <c r="G76" s="1175" t="s">
        <v>52</v>
      </c>
      <c r="H76" s="2779"/>
      <c r="I76" s="2780"/>
      <c r="J76" s="2337">
        <v>15</v>
      </c>
      <c r="K76" s="2338"/>
      <c r="L76" s="2337">
        <v>0.6</v>
      </c>
      <c r="M76" s="2291"/>
      <c r="N76" s="176"/>
      <c r="O76" s="1216">
        <v>1.0000000000000001E-5</v>
      </c>
      <c r="P76" s="194" t="s">
        <v>56</v>
      </c>
      <c r="Q76" s="195">
        <f t="shared" si="3"/>
        <v>1E-4</v>
      </c>
      <c r="R76" s="196" t="str">
        <f t="shared" si="4"/>
        <v>4  joint sets or more; heavily jointed</v>
      </c>
      <c r="S76" s="196"/>
      <c r="T76" s="196"/>
      <c r="U76" s="197"/>
      <c r="V76" s="198"/>
      <c r="W76" s="58"/>
    </row>
    <row r="77" spans="1:32" ht="12" customHeight="1" thickTop="1" thickBot="1">
      <c r="A77" s="1258" t="s">
        <v>340</v>
      </c>
      <c r="B77" s="2769" t="s">
        <v>55</v>
      </c>
      <c r="C77" s="2770"/>
      <c r="D77" s="199"/>
      <c r="E77" s="199"/>
      <c r="F77" s="200"/>
      <c r="G77" s="201" t="s">
        <v>54</v>
      </c>
      <c r="H77" s="2781"/>
      <c r="I77" s="2782"/>
      <c r="J77" s="2363">
        <v>20</v>
      </c>
      <c r="K77" s="2364"/>
      <c r="L77" s="2543">
        <v>0.5</v>
      </c>
      <c r="M77" s="2544"/>
      <c r="O77" s="2265" t="s">
        <v>148</v>
      </c>
      <c r="P77" s="2266"/>
      <c r="Q77" s="2536" t="s">
        <v>315</v>
      </c>
      <c r="R77" s="2537"/>
      <c r="S77" s="2537"/>
      <c r="T77" s="2537"/>
      <c r="U77" s="2537"/>
      <c r="V77" s="2538"/>
      <c r="W77" s="2432" t="s">
        <v>316</v>
      </c>
      <c r="X77" s="2433"/>
      <c r="Y77" s="2433"/>
      <c r="Z77" s="2433"/>
      <c r="AA77" s="2433"/>
      <c r="AB77" s="2434"/>
      <c r="AC77" s="2426" t="s">
        <v>245</v>
      </c>
      <c r="AD77" s="2427"/>
      <c r="AE77" s="2427"/>
      <c r="AF77" s="2428"/>
    </row>
    <row r="78" spans="1:32" ht="12" customHeight="1" thickTop="1" thickBot="1">
      <c r="A78" s="1262"/>
      <c r="B78" s="217"/>
      <c r="C78" s="217"/>
      <c r="D78" s="217"/>
      <c r="E78" s="217"/>
      <c r="F78" s="226"/>
      <c r="G78" s="270"/>
      <c r="H78" s="1499"/>
      <c r="I78" s="1500"/>
      <c r="J78" s="1503"/>
      <c r="K78" s="1504"/>
      <c r="L78" s="1505"/>
      <c r="M78" s="1506"/>
      <c r="N78" s="109"/>
      <c r="O78" s="2267"/>
      <c r="P78" s="2268"/>
      <c r="Q78" s="2539" t="s">
        <v>284</v>
      </c>
      <c r="R78" s="2540"/>
      <c r="S78" s="2541"/>
      <c r="T78" s="2540" t="s">
        <v>285</v>
      </c>
      <c r="U78" s="2540"/>
      <c r="V78" s="2542"/>
      <c r="W78" s="2441" t="s">
        <v>284</v>
      </c>
      <c r="X78" s="2442"/>
      <c r="Y78" s="2443"/>
      <c r="Z78" s="2435" t="s">
        <v>285</v>
      </c>
      <c r="AA78" s="2435"/>
      <c r="AB78" s="2436"/>
      <c r="AC78" s="1247" t="s">
        <v>284</v>
      </c>
      <c r="AD78" s="2429" t="s">
        <v>285</v>
      </c>
      <c r="AE78" s="2430"/>
      <c r="AF78" s="2431"/>
    </row>
    <row r="79" spans="1:32" ht="12" customHeight="1" thickTop="1">
      <c r="A79" s="126" t="s">
        <v>235</v>
      </c>
      <c r="B79" s="2610" t="s">
        <v>778</v>
      </c>
      <c r="C79" s="2610"/>
      <c r="D79" s="2610"/>
      <c r="E79" s="2610"/>
      <c r="F79" s="2783"/>
      <c r="G79" s="202"/>
      <c r="H79" s="2720" t="s">
        <v>94</v>
      </c>
      <c r="I79" s="2773"/>
      <c r="J79" s="2294" t="s">
        <v>56</v>
      </c>
      <c r="K79" s="2295"/>
      <c r="L79" s="2531" t="s">
        <v>95</v>
      </c>
      <c r="M79" s="2532"/>
      <c r="N79" s="350"/>
      <c r="O79" s="2323" t="s">
        <v>96</v>
      </c>
      <c r="P79" s="2324"/>
      <c r="Q79" s="2327" t="s">
        <v>286</v>
      </c>
      <c r="R79" s="2328"/>
      <c r="S79" s="2329"/>
      <c r="T79" s="1502"/>
      <c r="U79" s="1477" t="s">
        <v>159</v>
      </c>
      <c r="V79" s="1485">
        <v>15</v>
      </c>
      <c r="W79" s="2545" t="s">
        <v>286</v>
      </c>
      <c r="X79" s="2546"/>
      <c r="Y79" s="2547"/>
      <c r="Z79" s="1478"/>
      <c r="AA79" s="1479" t="s">
        <v>159</v>
      </c>
      <c r="AB79" s="1485">
        <v>15</v>
      </c>
      <c r="AC79" s="2262" t="s">
        <v>149</v>
      </c>
      <c r="AD79" s="1488"/>
      <c r="AE79" s="1502"/>
      <c r="AF79" s="506"/>
    </row>
    <row r="80" spans="1:32" ht="12" customHeight="1">
      <c r="A80" s="1248" t="s">
        <v>409</v>
      </c>
      <c r="B80" s="2800" t="s">
        <v>96</v>
      </c>
      <c r="C80" s="2800"/>
      <c r="D80" s="204"/>
      <c r="E80" s="204"/>
      <c r="F80" s="205"/>
      <c r="G80" s="1174" t="s">
        <v>16</v>
      </c>
      <c r="H80" s="2516">
        <v>0</v>
      </c>
      <c r="I80" s="2350"/>
      <c r="J80" s="2500" t="s">
        <v>229</v>
      </c>
      <c r="K80" s="2501"/>
      <c r="L80" s="2349">
        <v>1</v>
      </c>
      <c r="M80" s="2515"/>
      <c r="N80" s="203"/>
      <c r="O80" s="2325"/>
      <c r="P80" s="2326"/>
      <c r="Q80" s="209"/>
      <c r="R80" s="1474" t="s">
        <v>158</v>
      </c>
      <c r="S80" s="1207">
        <v>70</v>
      </c>
      <c r="T80" s="2512" t="s">
        <v>286</v>
      </c>
      <c r="U80" s="2513"/>
      <c r="V80" s="2514"/>
      <c r="W80" s="1475"/>
      <c r="X80" s="1474" t="s">
        <v>158</v>
      </c>
      <c r="Y80" s="1207">
        <v>70</v>
      </c>
      <c r="Z80" s="2439" t="s">
        <v>286</v>
      </c>
      <c r="AA80" s="2438"/>
      <c r="AB80" s="2440"/>
      <c r="AC80" s="2263"/>
      <c r="AD80" s="1486"/>
      <c r="AE80" s="1487" t="s">
        <v>158</v>
      </c>
      <c r="AF80" s="1501">
        <v>60</v>
      </c>
    </row>
    <row r="81" spans="1:32" ht="12" customHeight="1">
      <c r="A81" s="1248" t="s">
        <v>352</v>
      </c>
      <c r="B81" s="2598" t="s">
        <v>97</v>
      </c>
      <c r="C81" s="2598"/>
      <c r="D81" s="185"/>
      <c r="E81" s="185"/>
      <c r="F81" s="208"/>
      <c r="G81" s="1491" t="s">
        <v>18</v>
      </c>
      <c r="H81" s="2739">
        <v>-2</v>
      </c>
      <c r="I81" s="2740"/>
      <c r="J81" s="2502"/>
      <c r="K81" s="2503"/>
      <c r="L81" s="2312">
        <v>1</v>
      </c>
      <c r="M81" s="2313"/>
      <c r="N81" s="207"/>
      <c r="O81" s="1196" t="s">
        <v>97</v>
      </c>
      <c r="P81" s="1197"/>
      <c r="Q81" s="57"/>
      <c r="R81" s="212" t="s">
        <v>159</v>
      </c>
      <c r="S81" s="1201">
        <v>20</v>
      </c>
      <c r="T81" s="352"/>
      <c r="U81" s="212" t="s">
        <v>159</v>
      </c>
      <c r="V81" s="1204">
        <v>20</v>
      </c>
      <c r="W81" s="352"/>
      <c r="X81" s="212" t="s">
        <v>159</v>
      </c>
      <c r="Y81" s="1201">
        <v>20</v>
      </c>
      <c r="Z81" s="1496"/>
      <c r="AA81" s="212" t="s">
        <v>159</v>
      </c>
      <c r="AB81" s="1204">
        <v>20</v>
      </c>
      <c r="AC81" s="2263"/>
      <c r="AD81" s="1209">
        <v>45</v>
      </c>
      <c r="AE81" s="1497" t="s">
        <v>77</v>
      </c>
      <c r="AF81" s="1204">
        <v>60</v>
      </c>
    </row>
    <row r="82" spans="1:32" ht="12" customHeight="1">
      <c r="A82" s="1248" t="s">
        <v>178</v>
      </c>
      <c r="B82" s="2598" t="s">
        <v>34</v>
      </c>
      <c r="C82" s="2598"/>
      <c r="D82" s="185"/>
      <c r="E82" s="185"/>
      <c r="F82" s="208"/>
      <c r="G82" s="1175" t="s">
        <v>21</v>
      </c>
      <c r="H82" s="2596">
        <v>-5</v>
      </c>
      <c r="I82" s="2339"/>
      <c r="J82" s="2502"/>
      <c r="K82" s="2503"/>
      <c r="L82" s="2296">
        <v>1.5</v>
      </c>
      <c r="M82" s="2297"/>
      <c r="O82" s="2468" t="s">
        <v>34</v>
      </c>
      <c r="P82" s="2469"/>
      <c r="Q82" s="354"/>
      <c r="R82" s="212" t="s">
        <v>159</v>
      </c>
      <c r="S82" s="1201">
        <v>20</v>
      </c>
      <c r="T82" s="1200">
        <v>20</v>
      </c>
      <c r="U82" s="1497" t="s">
        <v>56</v>
      </c>
      <c r="V82" s="1204">
        <v>45</v>
      </c>
      <c r="W82" s="355"/>
      <c r="X82" s="212" t="s">
        <v>159</v>
      </c>
      <c r="Y82" s="1201">
        <v>20</v>
      </c>
      <c r="Z82" s="356"/>
      <c r="AA82" s="212" t="s">
        <v>287</v>
      </c>
      <c r="AB82" s="1204">
        <v>60</v>
      </c>
      <c r="AC82" s="2263"/>
      <c r="AD82" s="2466">
        <v>30</v>
      </c>
      <c r="AE82" s="2437" t="s">
        <v>77</v>
      </c>
      <c r="AF82" s="2451">
        <v>45</v>
      </c>
    </row>
    <row r="83" spans="1:32" ht="12" customHeight="1">
      <c r="A83" s="1257" t="s">
        <v>353</v>
      </c>
      <c r="B83" s="2598" t="s">
        <v>98</v>
      </c>
      <c r="C83" s="2598"/>
      <c r="D83" s="185"/>
      <c r="E83" s="185"/>
      <c r="F83" s="208"/>
      <c r="G83" s="1175" t="s">
        <v>23</v>
      </c>
      <c r="H83" s="2596">
        <v>-10</v>
      </c>
      <c r="I83" s="2339"/>
      <c r="J83" s="2502"/>
      <c r="K83" s="2503"/>
      <c r="L83" s="2296">
        <v>2</v>
      </c>
      <c r="M83" s="2297"/>
      <c r="N83" s="213"/>
      <c r="O83" s="2325"/>
      <c r="P83" s="2470"/>
      <c r="Q83" s="1200">
        <v>20</v>
      </c>
      <c r="R83" s="1497" t="s">
        <v>56</v>
      </c>
      <c r="S83" s="1201">
        <v>70</v>
      </c>
      <c r="T83" s="357"/>
      <c r="U83" s="212" t="s">
        <v>159</v>
      </c>
      <c r="V83" s="1204">
        <v>45</v>
      </c>
      <c r="W83" s="1206">
        <v>20</v>
      </c>
      <c r="X83" s="1495" t="s">
        <v>56</v>
      </c>
      <c r="Y83" s="1207">
        <v>70</v>
      </c>
      <c r="Z83" s="2439" t="s">
        <v>286</v>
      </c>
      <c r="AA83" s="2438"/>
      <c r="AB83" s="2440"/>
      <c r="AC83" s="2263"/>
      <c r="AD83" s="2467"/>
      <c r="AE83" s="2438"/>
      <c r="AF83" s="2452"/>
    </row>
    <row r="84" spans="1:32" ht="12" customHeight="1" thickBot="1">
      <c r="A84" s="1259" t="s">
        <v>560</v>
      </c>
      <c r="B84" s="2799" t="s">
        <v>99</v>
      </c>
      <c r="C84" s="2799"/>
      <c r="D84" s="214"/>
      <c r="E84" s="214"/>
      <c r="F84" s="215"/>
      <c r="G84" s="216" t="s">
        <v>25</v>
      </c>
      <c r="H84" s="2508">
        <v>-12</v>
      </c>
      <c r="I84" s="2509"/>
      <c r="J84" s="2522"/>
      <c r="K84" s="2523"/>
      <c r="L84" s="2298">
        <v>3</v>
      </c>
      <c r="M84" s="2299"/>
      <c r="N84" s="213"/>
      <c r="O84" s="1196" t="s">
        <v>98</v>
      </c>
      <c r="P84" s="1197"/>
      <c r="Q84" s="1200">
        <v>20</v>
      </c>
      <c r="R84" s="1498" t="s">
        <v>77</v>
      </c>
      <c r="S84" s="1201">
        <v>70</v>
      </c>
      <c r="T84" s="1200">
        <v>45</v>
      </c>
      <c r="U84" s="1497" t="s">
        <v>56</v>
      </c>
      <c r="V84" s="1204">
        <v>90</v>
      </c>
      <c r="W84" s="360"/>
      <c r="X84" s="212" t="s">
        <v>159</v>
      </c>
      <c r="Y84" s="1201">
        <v>20</v>
      </c>
      <c r="Z84" s="25"/>
      <c r="AA84" s="212" t="s">
        <v>158</v>
      </c>
      <c r="AB84" s="1204">
        <v>60</v>
      </c>
      <c r="AC84" s="2263"/>
      <c r="AD84" s="1209">
        <v>15</v>
      </c>
      <c r="AE84" s="1497" t="s">
        <v>77</v>
      </c>
      <c r="AF84" s="1204">
        <v>30</v>
      </c>
    </row>
    <row r="85" spans="1:32" ht="12" customHeight="1" thickBot="1">
      <c r="A85" s="163"/>
      <c r="B85" s="217"/>
      <c r="C85" s="217"/>
      <c r="D85" s="217"/>
      <c r="E85" s="217"/>
      <c r="F85" s="217"/>
      <c r="G85" s="217"/>
      <c r="H85" s="218"/>
      <c r="I85" s="218"/>
      <c r="J85" s="218"/>
      <c r="K85" s="218"/>
      <c r="L85" s="219"/>
      <c r="M85" s="219"/>
      <c r="N85" s="220"/>
      <c r="O85" s="1198" t="s">
        <v>99</v>
      </c>
      <c r="P85" s="1199"/>
      <c r="Q85" s="361"/>
      <c r="R85" s="221" t="s">
        <v>159</v>
      </c>
      <c r="S85" s="1202">
        <v>20</v>
      </c>
      <c r="T85" s="1203">
        <v>45</v>
      </c>
      <c r="U85" s="362" t="s">
        <v>56</v>
      </c>
      <c r="V85" s="1205">
        <v>90</v>
      </c>
      <c r="W85" s="363"/>
      <c r="X85" s="362" t="s">
        <v>56</v>
      </c>
      <c r="Y85" s="364"/>
      <c r="Z85" s="365"/>
      <c r="AA85" s="366" t="s">
        <v>56</v>
      </c>
      <c r="AB85" s="222"/>
      <c r="AC85" s="2264"/>
      <c r="AD85" s="363"/>
      <c r="AE85" s="221" t="s">
        <v>159</v>
      </c>
      <c r="AF85" s="1205">
        <v>15</v>
      </c>
    </row>
    <row r="86" spans="1:32" ht="15" customHeight="1">
      <c r="A86" s="83" t="s">
        <v>172</v>
      </c>
      <c r="B86" s="2771" t="s">
        <v>57</v>
      </c>
      <c r="C86" s="2771"/>
      <c r="D86" s="2771"/>
      <c r="E86" s="2771"/>
      <c r="F86" s="2772"/>
      <c r="G86" s="2560" t="s">
        <v>258</v>
      </c>
      <c r="H86" s="2308" t="s">
        <v>370</v>
      </c>
      <c r="I86" s="2309"/>
      <c r="J86" s="2308" t="s">
        <v>191</v>
      </c>
      <c r="K86" s="2309"/>
      <c r="L86" s="2306" t="s">
        <v>1</v>
      </c>
      <c r="M86" s="2307"/>
      <c r="O86" s="223"/>
      <c r="P86" s="223"/>
      <c r="Q86" s="223"/>
      <c r="R86" s="223"/>
      <c r="S86" s="223"/>
      <c r="T86" s="223"/>
      <c r="U86" s="223"/>
      <c r="V86" s="223"/>
      <c r="W86" s="223"/>
      <c r="X86" s="223"/>
      <c r="Y86" s="223"/>
      <c r="Z86" s="223"/>
      <c r="AA86" s="223"/>
      <c r="AB86" s="223"/>
      <c r="AC86" s="223"/>
      <c r="AD86" s="223"/>
      <c r="AE86" s="223"/>
    </row>
    <row r="87" spans="1:32" ht="12" customHeight="1">
      <c r="A87" s="84" t="s">
        <v>8</v>
      </c>
      <c r="B87" s="2775" t="s">
        <v>777</v>
      </c>
      <c r="C87" s="2775"/>
      <c r="D87" s="2775"/>
      <c r="E87" s="2775"/>
      <c r="F87" s="2776"/>
      <c r="G87" s="2561"/>
      <c r="H87" s="2761" t="s">
        <v>58</v>
      </c>
      <c r="I87" s="2774"/>
      <c r="J87" s="2524" t="s">
        <v>59</v>
      </c>
      <c r="K87" s="2525"/>
      <c r="L87" s="2519" t="s">
        <v>60</v>
      </c>
      <c r="M87" s="2520"/>
      <c r="Z87" s="224"/>
      <c r="AA87" s="224"/>
      <c r="AB87" s="223"/>
      <c r="AC87" s="223"/>
      <c r="AD87" s="223"/>
      <c r="AE87" s="223"/>
    </row>
    <row r="88" spans="1:32" ht="12" customHeight="1">
      <c r="A88" s="1248" t="s">
        <v>341</v>
      </c>
      <c r="B88" s="2679" t="s">
        <v>262</v>
      </c>
      <c r="C88" s="2680"/>
      <c r="D88" s="2681"/>
      <c r="E88" s="2681"/>
      <c r="F88" s="2682"/>
      <c r="G88" s="152" t="s">
        <v>16</v>
      </c>
      <c r="H88" s="2517">
        <v>6</v>
      </c>
      <c r="I88" s="2518"/>
      <c r="J88" s="2517">
        <v>2</v>
      </c>
      <c r="K88" s="2518"/>
      <c r="L88" s="2517">
        <v>2</v>
      </c>
      <c r="M88" s="2497"/>
      <c r="Z88" s="26"/>
      <c r="AA88" s="26"/>
      <c r="AB88" s="223"/>
      <c r="AC88" s="223"/>
      <c r="AD88" s="223"/>
      <c r="AE88" s="223"/>
    </row>
    <row r="89" spans="1:32" ht="12" customHeight="1">
      <c r="A89" s="1248" t="s">
        <v>342</v>
      </c>
      <c r="B89" s="2675" t="s">
        <v>61</v>
      </c>
      <c r="C89" s="2676"/>
      <c r="D89" s="2677"/>
      <c r="E89" s="2677"/>
      <c r="F89" s="2678"/>
      <c r="G89" s="156" t="s">
        <v>18</v>
      </c>
      <c r="H89" s="2290">
        <v>5</v>
      </c>
      <c r="I89" s="2492"/>
      <c r="J89" s="2290">
        <v>1.5</v>
      </c>
      <c r="K89" s="2492"/>
      <c r="L89" s="2290">
        <v>1.5</v>
      </c>
      <c r="M89" s="2291"/>
      <c r="Z89" s="26"/>
      <c r="AA89" s="26"/>
      <c r="AB89" s="223"/>
      <c r="AC89" s="223"/>
      <c r="AD89" s="223"/>
      <c r="AE89" s="223"/>
    </row>
    <row r="90" spans="1:32" ht="12" customHeight="1">
      <c r="A90" s="1248" t="s">
        <v>343</v>
      </c>
      <c r="B90" s="2675" t="s">
        <v>62</v>
      </c>
      <c r="C90" s="2676"/>
      <c r="D90" s="2677"/>
      <c r="E90" s="2677"/>
      <c r="F90" s="2678"/>
      <c r="G90" s="1492" t="s">
        <v>21</v>
      </c>
      <c r="H90" s="2310">
        <v>3</v>
      </c>
      <c r="I90" s="2311"/>
      <c r="J90" s="2310">
        <v>1.25</v>
      </c>
      <c r="K90" s="2311"/>
      <c r="L90" s="2310">
        <v>1.25</v>
      </c>
      <c r="M90" s="2521"/>
      <c r="Z90" s="26"/>
      <c r="AA90" s="26"/>
      <c r="AB90" s="223"/>
      <c r="AC90" s="223"/>
      <c r="AD90" s="223"/>
      <c r="AE90" s="223"/>
    </row>
    <row r="91" spans="1:32" ht="12" customHeight="1">
      <c r="A91" s="1248" t="s">
        <v>344</v>
      </c>
      <c r="B91" s="2675" t="s">
        <v>63</v>
      </c>
      <c r="C91" s="2676"/>
      <c r="D91" s="2677"/>
      <c r="E91" s="2677"/>
      <c r="F91" s="2678"/>
      <c r="G91" s="156" t="s">
        <v>23</v>
      </c>
      <c r="H91" s="2290">
        <v>1</v>
      </c>
      <c r="I91" s="2492"/>
      <c r="J91" s="2290">
        <v>1</v>
      </c>
      <c r="K91" s="2492"/>
      <c r="L91" s="2290">
        <v>1</v>
      </c>
      <c r="M91" s="2291"/>
    </row>
    <row r="92" spans="1:32" ht="12" customHeight="1">
      <c r="A92" s="1257" t="s">
        <v>345</v>
      </c>
      <c r="B92" s="2675" t="s">
        <v>64</v>
      </c>
      <c r="C92" s="2676"/>
      <c r="D92" s="2677"/>
      <c r="E92" s="2677"/>
      <c r="F92" s="2678"/>
      <c r="G92" s="156" t="s">
        <v>25</v>
      </c>
      <c r="H92" s="2290">
        <v>0</v>
      </c>
      <c r="I92" s="2492"/>
      <c r="J92" s="2290">
        <v>0.75</v>
      </c>
      <c r="K92" s="2492"/>
      <c r="L92" s="2290">
        <v>0.75</v>
      </c>
      <c r="M92" s="2291"/>
    </row>
    <row r="93" spans="1:32" ht="12" customHeight="1">
      <c r="A93" s="1248" t="s">
        <v>346</v>
      </c>
      <c r="B93" s="2675" t="s">
        <v>65</v>
      </c>
      <c r="C93" s="2676"/>
      <c r="D93" s="2677"/>
      <c r="E93" s="2677"/>
      <c r="F93" s="2678"/>
      <c r="G93" s="225" t="s">
        <v>27</v>
      </c>
      <c r="H93" s="2290">
        <v>0</v>
      </c>
      <c r="I93" s="2492"/>
      <c r="J93" s="2290">
        <v>0.5</v>
      </c>
      <c r="K93" s="2492"/>
      <c r="L93" s="2290">
        <v>0.5</v>
      </c>
      <c r="M93" s="2291"/>
    </row>
    <row r="94" spans="1:32" ht="12" customHeight="1" thickBot="1">
      <c r="A94" s="1258" t="s">
        <v>581</v>
      </c>
      <c r="B94" s="217" t="s">
        <v>261</v>
      </c>
      <c r="C94" s="217"/>
      <c r="D94" s="217"/>
      <c r="E94" s="217"/>
      <c r="F94" s="226"/>
      <c r="G94" s="227" t="s">
        <v>29</v>
      </c>
      <c r="H94" s="2288">
        <v>0</v>
      </c>
      <c r="I94" s="2289"/>
      <c r="J94" s="2288">
        <v>1</v>
      </c>
      <c r="K94" s="2289"/>
      <c r="L94" s="2288">
        <v>1</v>
      </c>
      <c r="M94" s="2869"/>
    </row>
    <row r="95" spans="1:32" ht="12" customHeight="1" thickTop="1">
      <c r="A95" s="126" t="s">
        <v>9</v>
      </c>
      <c r="B95" s="2611" t="s">
        <v>779</v>
      </c>
      <c r="C95" s="2611"/>
      <c r="D95" s="2611"/>
      <c r="E95" s="2611"/>
      <c r="F95" s="2683"/>
      <c r="G95" s="127"/>
      <c r="H95" s="2589" t="s">
        <v>56</v>
      </c>
      <c r="I95" s="2822"/>
      <c r="J95" s="2706" t="s">
        <v>66</v>
      </c>
      <c r="K95" s="2707"/>
      <c r="L95" s="2706" t="s">
        <v>67</v>
      </c>
      <c r="M95" s="2816"/>
    </row>
    <row r="96" spans="1:32" ht="12" customHeight="1">
      <c r="A96" s="1248" t="s">
        <v>549</v>
      </c>
      <c r="B96" s="2679" t="s">
        <v>204</v>
      </c>
      <c r="C96" s="2680"/>
      <c r="D96" s="2681"/>
      <c r="E96" s="2681"/>
      <c r="F96" s="2682"/>
      <c r="G96" s="131" t="s">
        <v>16</v>
      </c>
      <c r="H96" s="2777" t="s">
        <v>229</v>
      </c>
      <c r="I96" s="2818"/>
      <c r="J96" s="2699">
        <v>4</v>
      </c>
      <c r="K96" s="2518"/>
      <c r="L96" s="2517">
        <v>4</v>
      </c>
      <c r="M96" s="2497"/>
    </row>
    <row r="97" spans="1:24" ht="12" customHeight="1">
      <c r="A97" s="1248" t="s">
        <v>349</v>
      </c>
      <c r="B97" s="2675" t="s">
        <v>68</v>
      </c>
      <c r="C97" s="2676"/>
      <c r="D97" s="2677"/>
      <c r="E97" s="2677"/>
      <c r="F97" s="2678"/>
      <c r="G97" s="121" t="s">
        <v>18</v>
      </c>
      <c r="H97" s="2779"/>
      <c r="I97" s="2819"/>
      <c r="J97" s="2511">
        <v>2.5</v>
      </c>
      <c r="K97" s="2492"/>
      <c r="L97" s="2290">
        <v>2.5</v>
      </c>
      <c r="M97" s="2291"/>
    </row>
    <row r="98" spans="1:24" ht="12" customHeight="1">
      <c r="A98" s="1248" t="s">
        <v>365</v>
      </c>
      <c r="B98" s="2675" t="s">
        <v>69</v>
      </c>
      <c r="C98" s="2676"/>
      <c r="D98" s="2677"/>
      <c r="E98" s="2677"/>
      <c r="F98" s="2678"/>
      <c r="G98" s="121" t="s">
        <v>21</v>
      </c>
      <c r="H98" s="2779"/>
      <c r="I98" s="2819"/>
      <c r="J98" s="2511">
        <v>2</v>
      </c>
      <c r="K98" s="2492"/>
      <c r="L98" s="2290">
        <v>2</v>
      </c>
      <c r="M98" s="2291"/>
    </row>
    <row r="99" spans="1:24" ht="12" customHeight="1">
      <c r="A99" s="1257" t="s">
        <v>348</v>
      </c>
      <c r="B99" s="2675" t="s">
        <v>70</v>
      </c>
      <c r="C99" s="2676"/>
      <c r="D99" s="2677"/>
      <c r="E99" s="2677"/>
      <c r="F99" s="2678"/>
      <c r="G99" s="1493" t="s">
        <v>23</v>
      </c>
      <c r="H99" s="2779"/>
      <c r="I99" s="2819"/>
      <c r="J99" s="2817">
        <v>1.4</v>
      </c>
      <c r="K99" s="2311"/>
      <c r="L99" s="2310">
        <v>1.4</v>
      </c>
      <c r="M99" s="2521"/>
    </row>
    <row r="100" spans="1:24" ht="12" customHeight="1">
      <c r="A100" s="1248" t="s">
        <v>347</v>
      </c>
      <c r="B100" s="2711" t="s">
        <v>71</v>
      </c>
      <c r="C100" s="2712"/>
      <c r="D100" s="2712"/>
      <c r="E100" s="2712"/>
      <c r="F100" s="2713"/>
      <c r="G100" s="121" t="s">
        <v>25</v>
      </c>
      <c r="H100" s="2779"/>
      <c r="I100" s="2819"/>
      <c r="J100" s="2290">
        <v>1</v>
      </c>
      <c r="K100" s="2492"/>
      <c r="L100" s="2290">
        <v>1</v>
      </c>
      <c r="M100" s="2291"/>
    </row>
    <row r="101" spans="1:24" ht="12" customHeight="1">
      <c r="A101" s="1249" t="s">
        <v>582</v>
      </c>
      <c r="B101" s="217" t="s">
        <v>261</v>
      </c>
      <c r="C101" s="217"/>
      <c r="D101" s="217"/>
      <c r="E101" s="217"/>
      <c r="F101" s="228"/>
      <c r="G101" s="229" t="s">
        <v>29</v>
      </c>
      <c r="H101" s="2820"/>
      <c r="I101" s="2821"/>
      <c r="J101" s="2825">
        <v>1</v>
      </c>
      <c r="K101" s="2826"/>
      <c r="L101" s="2823">
        <v>1</v>
      </c>
      <c r="M101" s="2824"/>
    </row>
    <row r="102" spans="1:24" ht="12" customHeight="1" thickBot="1">
      <c r="A102" s="230"/>
      <c r="B102" s="2792" t="s">
        <v>211</v>
      </c>
      <c r="C102" s="2792"/>
      <c r="D102" s="231"/>
      <c r="E102" s="231"/>
      <c r="F102" s="2693" t="s">
        <v>263</v>
      </c>
      <c r="G102" s="2693"/>
      <c r="H102" s="2693"/>
      <c r="I102" s="2693"/>
      <c r="J102" s="2693"/>
      <c r="K102" s="2693"/>
      <c r="L102" s="2693"/>
      <c r="M102" s="2694"/>
    </row>
    <row r="103" spans="1:24" ht="12" customHeight="1" thickTop="1">
      <c r="A103" s="126" t="s">
        <v>10</v>
      </c>
      <c r="B103" s="2714" t="s">
        <v>197</v>
      </c>
      <c r="C103" s="2714"/>
      <c r="D103" s="2714"/>
      <c r="E103" s="2714"/>
      <c r="F103" s="2715"/>
      <c r="G103" s="202"/>
      <c r="H103" s="2691" t="s">
        <v>72</v>
      </c>
      <c r="I103" s="2705"/>
      <c r="J103" s="2691" t="s">
        <v>73</v>
      </c>
      <c r="K103" s="2705"/>
      <c r="L103" s="2691" t="s">
        <v>74</v>
      </c>
      <c r="M103" s="2692"/>
      <c r="N103" s="232"/>
    </row>
    <row r="104" spans="1:24" ht="12" customHeight="1">
      <c r="A104" s="1424" t="s">
        <v>583</v>
      </c>
      <c r="B104" s="2663" t="s">
        <v>75</v>
      </c>
      <c r="C104" s="2700"/>
      <c r="D104" s="2701"/>
      <c r="E104" s="2701"/>
      <c r="F104" s="2702"/>
      <c r="G104" s="233" t="s">
        <v>16</v>
      </c>
      <c r="H104" s="2517">
        <v>6</v>
      </c>
      <c r="I104" s="2518"/>
      <c r="J104" s="2689">
        <v>0.75</v>
      </c>
      <c r="K104" s="2883"/>
      <c r="L104" s="2689">
        <v>0.75</v>
      </c>
      <c r="M104" s="2690"/>
      <c r="N104" s="234"/>
    </row>
    <row r="105" spans="1:24" ht="12" customHeight="1">
      <c r="A105" s="1425" t="s">
        <v>790</v>
      </c>
      <c r="B105" s="2695" t="s">
        <v>804</v>
      </c>
      <c r="C105" s="2696"/>
      <c r="D105" s="2697"/>
      <c r="E105" s="2697"/>
      <c r="F105" s="2698"/>
      <c r="G105" s="1491" t="s">
        <v>18</v>
      </c>
      <c r="H105" s="2310">
        <v>6</v>
      </c>
      <c r="I105" s="2311"/>
      <c r="J105" s="2310">
        <v>1</v>
      </c>
      <c r="K105" s="2311"/>
      <c r="L105" s="2310">
        <v>1</v>
      </c>
      <c r="M105" s="2521"/>
      <c r="N105" s="234"/>
    </row>
    <row r="106" spans="1:24" ht="12" customHeight="1">
      <c r="A106" s="1425" t="s">
        <v>791</v>
      </c>
      <c r="B106" s="2695" t="s">
        <v>550</v>
      </c>
      <c r="C106" s="2696"/>
      <c r="D106" s="2697"/>
      <c r="E106" s="2697"/>
      <c r="F106" s="2698"/>
      <c r="G106" s="235" t="s">
        <v>21</v>
      </c>
      <c r="H106" s="2290">
        <v>5</v>
      </c>
      <c r="I106" s="2492"/>
      <c r="J106" s="2290">
        <v>2</v>
      </c>
      <c r="K106" s="2492"/>
      <c r="L106" s="2290">
        <v>2</v>
      </c>
      <c r="M106" s="2291"/>
      <c r="N106" s="234"/>
    </row>
    <row r="107" spans="1:24" ht="12" customHeight="1">
      <c r="A107" s="1425" t="s">
        <v>553</v>
      </c>
      <c r="B107" s="2695" t="s">
        <v>551</v>
      </c>
      <c r="C107" s="2696"/>
      <c r="D107" s="2697"/>
      <c r="E107" s="2697"/>
      <c r="F107" s="2698"/>
      <c r="G107" s="235" t="s">
        <v>23</v>
      </c>
      <c r="H107" s="2290">
        <v>3</v>
      </c>
      <c r="I107" s="2492"/>
      <c r="J107" s="2290">
        <v>4</v>
      </c>
      <c r="K107" s="2492"/>
      <c r="L107" s="2290">
        <v>4</v>
      </c>
      <c r="M107" s="2291"/>
      <c r="N107" s="234"/>
    </row>
    <row r="108" spans="1:24" ht="12" customHeight="1">
      <c r="A108" s="1425" t="s">
        <v>792</v>
      </c>
      <c r="B108" s="2695" t="s">
        <v>552</v>
      </c>
      <c r="C108" s="2696"/>
      <c r="D108" s="2697"/>
      <c r="E108" s="2697"/>
      <c r="F108" s="2698"/>
      <c r="G108" s="235" t="s">
        <v>25</v>
      </c>
      <c r="H108" s="2290">
        <v>1</v>
      </c>
      <c r="I108" s="2492"/>
      <c r="J108" s="2290">
        <v>3</v>
      </c>
      <c r="K108" s="2492"/>
      <c r="L108" s="2290">
        <v>3</v>
      </c>
      <c r="M108" s="2291"/>
      <c r="N108" s="234"/>
      <c r="O108" s="2486" t="s">
        <v>209</v>
      </c>
      <c r="P108" s="2487"/>
      <c r="Q108" s="2487"/>
      <c r="R108" s="2488"/>
      <c r="S108" s="236"/>
      <c r="T108" s="236"/>
    </row>
    <row r="109" spans="1:24" ht="12" customHeight="1">
      <c r="A109" s="1426" t="s">
        <v>793</v>
      </c>
      <c r="B109" s="2695" t="s">
        <v>805</v>
      </c>
      <c r="C109" s="2696"/>
      <c r="D109" s="2697"/>
      <c r="E109" s="2697"/>
      <c r="F109" s="2698"/>
      <c r="G109" s="237" t="s">
        <v>27</v>
      </c>
      <c r="H109" s="2687">
        <v>0</v>
      </c>
      <c r="I109" s="2688"/>
      <c r="J109" s="2687">
        <v>4</v>
      </c>
      <c r="K109" s="2688"/>
      <c r="L109" s="2687">
        <v>4</v>
      </c>
      <c r="M109" s="2710"/>
      <c r="N109" s="234"/>
      <c r="O109" s="2489"/>
      <c r="P109" s="2490"/>
      <c r="Q109" s="2490"/>
      <c r="R109" s="2491"/>
      <c r="S109" s="236"/>
      <c r="T109" s="236"/>
    </row>
    <row r="110" spans="1:24" ht="9" customHeight="1">
      <c r="A110" s="1427"/>
      <c r="B110" s="2286" t="s">
        <v>764</v>
      </c>
      <c r="C110" s="2286"/>
      <c r="D110" s="238"/>
      <c r="E110" s="238"/>
      <c r="F110" s="239"/>
      <c r="G110" s="240"/>
      <c r="H110" s="2850" t="s">
        <v>76</v>
      </c>
      <c r="I110" s="2851"/>
      <c r="J110" s="2708" t="s">
        <v>218</v>
      </c>
      <c r="K110" s="2498" t="s">
        <v>219</v>
      </c>
      <c r="L110" s="2865" t="s">
        <v>74</v>
      </c>
      <c r="M110" s="2866"/>
      <c r="O110" s="2471" t="s">
        <v>259</v>
      </c>
      <c r="P110" s="2472"/>
      <c r="Q110" s="2482" t="s">
        <v>260</v>
      </c>
      <c r="R110" s="2483"/>
      <c r="S110" s="241"/>
      <c r="T110" s="241"/>
    </row>
    <row r="111" spans="1:24" ht="8.25" customHeight="1">
      <c r="A111" s="1428"/>
      <c r="B111" s="2287"/>
      <c r="C111" s="2287"/>
      <c r="D111" s="2790" t="s">
        <v>189</v>
      </c>
      <c r="E111" s="2790"/>
      <c r="F111" s="2791"/>
      <c r="G111" s="242"/>
      <c r="H111" s="243" t="s">
        <v>179</v>
      </c>
      <c r="I111" s="244" t="s">
        <v>180</v>
      </c>
      <c r="J111" s="2709"/>
      <c r="K111" s="2499"/>
      <c r="L111" s="245" t="s">
        <v>264</v>
      </c>
      <c r="M111" s="246" t="s">
        <v>265</v>
      </c>
      <c r="N111" s="247"/>
      <c r="O111" s="2473"/>
      <c r="P111" s="2474"/>
      <c r="Q111" s="2484"/>
      <c r="R111" s="2485"/>
      <c r="S111" s="241"/>
      <c r="T111" s="241"/>
    </row>
    <row r="112" spans="1:24" ht="12" customHeight="1">
      <c r="A112" s="1425" t="s">
        <v>756</v>
      </c>
      <c r="B112" s="2695" t="s">
        <v>806</v>
      </c>
      <c r="C112" s="2696"/>
      <c r="D112" s="2697"/>
      <c r="E112" s="2697"/>
      <c r="F112" s="2698"/>
      <c r="G112" s="235" t="s">
        <v>185</v>
      </c>
      <c r="H112" s="1217">
        <v>5</v>
      </c>
      <c r="I112" s="1218">
        <v>2</v>
      </c>
      <c r="J112" s="1219">
        <v>4</v>
      </c>
      <c r="K112" s="1220">
        <v>6</v>
      </c>
      <c r="L112" s="1219">
        <v>4</v>
      </c>
      <c r="M112" s="1221">
        <v>6</v>
      </c>
      <c r="N112" s="248" t="s">
        <v>485</v>
      </c>
      <c r="O112" s="2379">
        <v>4</v>
      </c>
      <c r="P112" s="2380"/>
      <c r="Q112" s="2480" t="s">
        <v>813</v>
      </c>
      <c r="R112" s="2481"/>
      <c r="S112" s="249"/>
      <c r="T112" s="249"/>
      <c r="U112" s="2367"/>
      <c r="V112" s="2367"/>
      <c r="W112" s="2367"/>
      <c r="X112" s="2367"/>
    </row>
    <row r="113" spans="1:24" ht="12" customHeight="1">
      <c r="A113" s="1425" t="s">
        <v>757</v>
      </c>
      <c r="B113" s="2695" t="s">
        <v>808</v>
      </c>
      <c r="C113" s="2696"/>
      <c r="D113" s="2697"/>
      <c r="E113" s="2697"/>
      <c r="F113" s="2698"/>
      <c r="G113" s="235" t="s">
        <v>186</v>
      </c>
      <c r="H113" s="1222">
        <v>4</v>
      </c>
      <c r="I113" s="1220">
        <v>2</v>
      </c>
      <c r="J113" s="1219">
        <v>6</v>
      </c>
      <c r="K113" s="1220">
        <v>8</v>
      </c>
      <c r="L113" s="1219">
        <v>6</v>
      </c>
      <c r="M113" s="1221">
        <v>8</v>
      </c>
      <c r="N113" s="248" t="s">
        <v>485</v>
      </c>
      <c r="O113" s="2475">
        <v>6</v>
      </c>
      <c r="P113" s="2476"/>
      <c r="Q113" s="2377" t="s">
        <v>162</v>
      </c>
      <c r="R113" s="2378"/>
      <c r="S113" s="249"/>
      <c r="T113" s="249"/>
      <c r="U113" s="2367"/>
      <c r="V113" s="2367"/>
      <c r="W113" s="2367"/>
      <c r="X113" s="2367"/>
    </row>
    <row r="114" spans="1:24" ht="12" customHeight="1">
      <c r="A114" s="1425" t="s">
        <v>758</v>
      </c>
      <c r="B114" s="2695" t="s">
        <v>807</v>
      </c>
      <c r="C114" s="2696"/>
      <c r="D114" s="2697"/>
      <c r="E114" s="2697"/>
      <c r="F114" s="2698"/>
      <c r="G114" s="235" t="s">
        <v>187</v>
      </c>
      <c r="H114" s="1222">
        <v>2</v>
      </c>
      <c r="I114" s="1220">
        <v>0</v>
      </c>
      <c r="J114" s="1219">
        <v>8</v>
      </c>
      <c r="K114" s="1220">
        <v>12</v>
      </c>
      <c r="L114" s="1219">
        <v>8</v>
      </c>
      <c r="M114" s="1221">
        <v>12</v>
      </c>
      <c r="N114" s="248" t="s">
        <v>485</v>
      </c>
      <c r="O114" s="2475">
        <v>8</v>
      </c>
      <c r="P114" s="2476"/>
      <c r="Q114" s="2377">
        <v>12</v>
      </c>
      <c r="R114" s="2378"/>
      <c r="S114" s="249"/>
      <c r="T114" s="249"/>
      <c r="U114" s="2368"/>
      <c r="V114" s="2368"/>
      <c r="W114" s="2368"/>
      <c r="X114" s="2368"/>
    </row>
    <row r="115" spans="1:24" ht="12" customHeight="1">
      <c r="A115" s="1438" t="s">
        <v>812</v>
      </c>
      <c r="B115" s="148" t="s">
        <v>809</v>
      </c>
      <c r="F115" s="1436"/>
      <c r="G115" s="1432" t="s">
        <v>188</v>
      </c>
      <c r="H115" s="2881">
        <v>0</v>
      </c>
      <c r="I115" s="2879">
        <v>0</v>
      </c>
      <c r="J115" s="1433">
        <v>12</v>
      </c>
      <c r="K115" s="1434">
        <v>16</v>
      </c>
      <c r="L115" s="1433">
        <v>12</v>
      </c>
      <c r="M115" s="1435">
        <v>16</v>
      </c>
      <c r="N115" s="1439" t="s">
        <v>485</v>
      </c>
      <c r="O115" s="2475" t="s">
        <v>165</v>
      </c>
      <c r="P115" s="2476"/>
      <c r="Q115" s="2867">
        <v>13</v>
      </c>
      <c r="R115" s="2868"/>
      <c r="S115" s="249"/>
      <c r="T115" s="249"/>
      <c r="U115" s="2367"/>
      <c r="V115" s="2367"/>
      <c r="W115" s="2367"/>
      <c r="X115" s="2367"/>
    </row>
    <row r="116" spans="1:24" ht="12" customHeight="1">
      <c r="A116" s="1425" t="s">
        <v>759</v>
      </c>
      <c r="B116" s="2282" t="s">
        <v>810</v>
      </c>
      <c r="C116" s="2283"/>
      <c r="D116" s="2284"/>
      <c r="E116" s="2284"/>
      <c r="F116" s="2285"/>
      <c r="G116" s="1437" t="s">
        <v>811</v>
      </c>
      <c r="H116" s="2882"/>
      <c r="I116" s="2880"/>
      <c r="J116" s="1223">
        <v>16</v>
      </c>
      <c r="K116" s="1224">
        <v>20</v>
      </c>
      <c r="L116" s="1223">
        <v>16</v>
      </c>
      <c r="M116" s="1225">
        <v>20</v>
      </c>
      <c r="N116" s="1439" t="s">
        <v>485</v>
      </c>
      <c r="O116" s="2478" t="s">
        <v>163</v>
      </c>
      <c r="P116" s="2479"/>
      <c r="Q116" s="2375" t="s">
        <v>164</v>
      </c>
      <c r="R116" s="2376"/>
      <c r="S116" s="249"/>
      <c r="T116" s="249"/>
      <c r="U116" s="1405"/>
      <c r="V116" s="1405"/>
      <c r="W116" s="1405"/>
      <c r="X116" s="1405"/>
    </row>
    <row r="117" spans="1:24" ht="12.75" customHeight="1">
      <c r="A117" s="1429"/>
      <c r="B117" s="2684" t="s">
        <v>305</v>
      </c>
      <c r="C117" s="2685"/>
      <c r="D117" s="2685"/>
      <c r="E117" s="2685"/>
      <c r="F117" s="2685"/>
      <c r="G117" s="2685"/>
      <c r="H117" s="2685"/>
      <c r="I117" s="2685"/>
      <c r="J117" s="2685"/>
      <c r="K117" s="2685"/>
      <c r="L117" s="2685"/>
      <c r="M117" s="2686"/>
      <c r="N117" s="251"/>
    </row>
    <row r="118" spans="1:24" ht="12" customHeight="1" thickBot="1">
      <c r="A118" s="1430"/>
      <c r="B118" s="2703" t="s">
        <v>190</v>
      </c>
      <c r="C118" s="2703"/>
      <c r="D118" s="2703"/>
      <c r="E118" s="2703"/>
      <c r="F118" s="2703"/>
      <c r="G118" s="2703"/>
      <c r="H118" s="2703"/>
      <c r="I118" s="2703"/>
      <c r="J118" s="2703"/>
      <c r="K118" s="2703"/>
      <c r="L118" s="2703"/>
      <c r="M118" s="2704"/>
      <c r="N118" s="252"/>
    </row>
    <row r="119" spans="1:24" ht="12" customHeight="1" thickTop="1">
      <c r="A119" s="1431" t="s">
        <v>195</v>
      </c>
      <c r="B119" s="2562" t="s">
        <v>192</v>
      </c>
      <c r="C119" s="2562"/>
      <c r="D119" s="2562"/>
      <c r="E119" s="2562"/>
      <c r="F119" s="2563"/>
      <c r="G119" s="253"/>
      <c r="H119" s="2524" t="s">
        <v>78</v>
      </c>
      <c r="I119" s="2340"/>
      <c r="J119" s="2587" t="s">
        <v>56</v>
      </c>
      <c r="K119" s="2588"/>
      <c r="L119" s="2340" t="s">
        <v>79</v>
      </c>
      <c r="M119" s="2341"/>
    </row>
    <row r="120" spans="1:24" ht="12" customHeight="1">
      <c r="A120" s="1424" t="s">
        <v>350</v>
      </c>
      <c r="B120" s="2663" t="s">
        <v>306</v>
      </c>
      <c r="C120" s="2700"/>
      <c r="D120" s="2796" t="s">
        <v>175</v>
      </c>
      <c r="E120" s="2797"/>
      <c r="F120" s="2798"/>
      <c r="G120" s="254" t="s">
        <v>16</v>
      </c>
      <c r="H120" s="2517">
        <v>8</v>
      </c>
      <c r="I120" s="2607"/>
      <c r="J120" s="2840" t="s">
        <v>229</v>
      </c>
      <c r="K120" s="2778"/>
      <c r="L120" s="2496">
        <v>5</v>
      </c>
      <c r="M120" s="2497"/>
    </row>
    <row r="121" spans="1:24" ht="12" customHeight="1">
      <c r="A121" s="1248" t="s">
        <v>584</v>
      </c>
      <c r="B121" s="2695" t="s">
        <v>80</v>
      </c>
      <c r="C121" s="2696"/>
      <c r="D121" s="2793" t="s">
        <v>81</v>
      </c>
      <c r="E121" s="2794"/>
      <c r="F121" s="2795"/>
      <c r="G121" s="235" t="s">
        <v>18</v>
      </c>
      <c r="H121" s="2290">
        <v>6</v>
      </c>
      <c r="I121" s="2338"/>
      <c r="J121" s="2841"/>
      <c r="K121" s="2780"/>
      <c r="L121" s="2337">
        <v>3</v>
      </c>
      <c r="M121" s="2291"/>
    </row>
    <row r="122" spans="1:24" ht="12" customHeight="1">
      <c r="A122" s="1248" t="s">
        <v>585</v>
      </c>
      <c r="B122" s="2695" t="s">
        <v>82</v>
      </c>
      <c r="C122" s="2696"/>
      <c r="D122" s="2793" t="s">
        <v>83</v>
      </c>
      <c r="E122" s="2794"/>
      <c r="F122" s="2795"/>
      <c r="G122" s="235" t="s">
        <v>21</v>
      </c>
      <c r="H122" s="2290"/>
      <c r="I122" s="2338"/>
      <c r="J122" s="2841"/>
      <c r="K122" s="2780"/>
      <c r="L122" s="2337">
        <v>2</v>
      </c>
      <c r="M122" s="2291"/>
    </row>
    <row r="123" spans="1:24" ht="12" customHeight="1">
      <c r="A123" s="1248" t="s">
        <v>586</v>
      </c>
      <c r="B123" s="2695" t="s">
        <v>84</v>
      </c>
      <c r="C123" s="2696"/>
      <c r="D123" s="2793" t="s">
        <v>85</v>
      </c>
      <c r="E123" s="2794"/>
      <c r="F123" s="2795"/>
      <c r="G123" s="235" t="s">
        <v>23</v>
      </c>
      <c r="H123" s="2290">
        <v>4</v>
      </c>
      <c r="I123" s="2338"/>
      <c r="J123" s="2841"/>
      <c r="K123" s="2780"/>
      <c r="L123" s="2337">
        <v>1.5</v>
      </c>
      <c r="M123" s="2291"/>
    </row>
    <row r="124" spans="1:24" ht="12" customHeight="1">
      <c r="A124" s="1248" t="s">
        <v>587</v>
      </c>
      <c r="B124" s="2695" t="s">
        <v>86</v>
      </c>
      <c r="C124" s="2696"/>
      <c r="D124" s="2793" t="s">
        <v>87</v>
      </c>
      <c r="E124" s="2794"/>
      <c r="F124" s="2795"/>
      <c r="G124" s="1213" t="s">
        <v>25</v>
      </c>
      <c r="H124" s="2310">
        <v>2</v>
      </c>
      <c r="I124" s="2815"/>
      <c r="J124" s="2841"/>
      <c r="K124" s="2780"/>
      <c r="L124" s="2787">
        <v>1</v>
      </c>
      <c r="M124" s="2521"/>
    </row>
    <row r="125" spans="1:24" ht="12" customHeight="1">
      <c r="A125" s="1257" t="s">
        <v>351</v>
      </c>
      <c r="B125" s="2695" t="s">
        <v>88</v>
      </c>
      <c r="C125" s="2696"/>
      <c r="D125" s="2793" t="s">
        <v>307</v>
      </c>
      <c r="E125" s="2794"/>
      <c r="F125" s="2795"/>
      <c r="G125" s="235" t="s">
        <v>27</v>
      </c>
      <c r="H125" s="2290">
        <v>1</v>
      </c>
      <c r="I125" s="2338"/>
      <c r="J125" s="2841"/>
      <c r="K125" s="2780"/>
      <c r="L125" s="2337">
        <v>0.75</v>
      </c>
      <c r="M125" s="2291"/>
    </row>
    <row r="126" spans="1:24" ht="12" customHeight="1">
      <c r="A126" s="1249" t="s">
        <v>581</v>
      </c>
      <c r="B126" s="2857" t="s">
        <v>309</v>
      </c>
      <c r="C126" s="2282"/>
      <c r="D126" s="2852" t="s">
        <v>308</v>
      </c>
      <c r="E126" s="2853"/>
      <c r="F126" s="2854"/>
      <c r="G126" s="255" t="s">
        <v>29</v>
      </c>
      <c r="H126" s="2687">
        <v>0</v>
      </c>
      <c r="I126" s="2864"/>
      <c r="J126" s="2842"/>
      <c r="K126" s="2843"/>
      <c r="L126" s="2844">
        <v>0.5</v>
      </c>
      <c r="M126" s="2824"/>
    </row>
    <row r="127" spans="1:24" ht="18" customHeight="1" thickBot="1">
      <c r="A127" s="2829" t="s">
        <v>310</v>
      </c>
      <c r="B127" s="2830"/>
      <c r="C127" s="2830"/>
      <c r="D127" s="2830"/>
      <c r="E127" s="2830"/>
      <c r="F127" s="2830"/>
      <c r="G127" s="2830"/>
      <c r="H127" s="2830"/>
      <c r="I127" s="2830"/>
      <c r="J127" s="2830"/>
      <c r="K127" s="2830"/>
      <c r="L127" s="2830"/>
      <c r="M127" s="2831"/>
    </row>
    <row r="128" spans="1:24" ht="12" customHeight="1" thickTop="1">
      <c r="A128" s="126" t="s">
        <v>196</v>
      </c>
      <c r="B128" s="2611" t="s">
        <v>412</v>
      </c>
      <c r="C128" s="2611"/>
      <c r="D128" s="145"/>
      <c r="E128" s="145"/>
      <c r="F128" s="256"/>
      <c r="G128" s="257"/>
      <c r="H128" s="2519" t="s">
        <v>89</v>
      </c>
      <c r="I128" s="2836"/>
      <c r="J128" s="2827" t="s">
        <v>56</v>
      </c>
      <c r="K128" s="2828"/>
      <c r="L128" s="2832" t="s">
        <v>56</v>
      </c>
      <c r="M128" s="2833"/>
      <c r="O128" s="258"/>
    </row>
    <row r="129" spans="1:33" ht="12" customHeight="1">
      <c r="A129" s="1260" t="s">
        <v>588</v>
      </c>
      <c r="B129" s="259" t="s">
        <v>312</v>
      </c>
      <c r="C129" s="260" t="s">
        <v>222</v>
      </c>
      <c r="D129" s="261"/>
      <c r="E129" s="261"/>
      <c r="F129" s="262"/>
      <c r="G129" s="118" t="s">
        <v>16</v>
      </c>
      <c r="H129" s="2517">
        <v>6</v>
      </c>
      <c r="I129" s="2607"/>
      <c r="J129" s="2858" t="s">
        <v>229</v>
      </c>
      <c r="K129" s="2859"/>
      <c r="L129" s="2621" t="s">
        <v>239</v>
      </c>
      <c r="M129" s="2622"/>
    </row>
    <row r="130" spans="1:33" ht="12" customHeight="1">
      <c r="A130" s="1248" t="s">
        <v>794</v>
      </c>
      <c r="B130" s="153" t="s">
        <v>90</v>
      </c>
      <c r="C130" s="263" t="s">
        <v>91</v>
      </c>
      <c r="D130" s="264"/>
      <c r="E130" s="264"/>
      <c r="F130" s="265"/>
      <c r="G130" s="92" t="s">
        <v>18</v>
      </c>
      <c r="H130" s="2290">
        <v>5</v>
      </c>
      <c r="I130" s="2338"/>
      <c r="J130" s="2860"/>
      <c r="K130" s="2861"/>
      <c r="L130" s="2623"/>
      <c r="M130" s="2624"/>
    </row>
    <row r="131" spans="1:33" ht="12" customHeight="1">
      <c r="A131" s="1248" t="s">
        <v>589</v>
      </c>
      <c r="B131" s="153" t="s">
        <v>92</v>
      </c>
      <c r="C131" s="263" t="s">
        <v>317</v>
      </c>
      <c r="D131" s="264"/>
      <c r="E131" s="264"/>
      <c r="F131" s="265"/>
      <c r="G131" s="1226" t="s">
        <v>21</v>
      </c>
      <c r="H131" s="2310">
        <v>4</v>
      </c>
      <c r="I131" s="2815"/>
      <c r="J131" s="2860"/>
      <c r="K131" s="2861"/>
      <c r="L131" s="2623"/>
      <c r="M131" s="2624"/>
    </row>
    <row r="132" spans="1:33" ht="12" customHeight="1">
      <c r="A132" s="1257" t="s">
        <v>590</v>
      </c>
      <c r="B132" s="153" t="s">
        <v>320</v>
      </c>
      <c r="C132" s="263" t="s">
        <v>318</v>
      </c>
      <c r="D132" s="264"/>
      <c r="E132" s="264"/>
      <c r="F132" s="265"/>
      <c r="G132" s="95" t="s">
        <v>23</v>
      </c>
      <c r="H132" s="2290">
        <v>1</v>
      </c>
      <c r="I132" s="2338"/>
      <c r="J132" s="2860"/>
      <c r="K132" s="2861"/>
      <c r="L132" s="2623"/>
      <c r="M132" s="2624"/>
    </row>
    <row r="133" spans="1:33" ht="12" customHeight="1" thickBot="1">
      <c r="A133" s="1261" t="s">
        <v>591</v>
      </c>
      <c r="B133" s="266" t="s">
        <v>93</v>
      </c>
      <c r="C133" s="267" t="s">
        <v>319</v>
      </c>
      <c r="D133" s="268"/>
      <c r="E133" s="268"/>
      <c r="F133" s="269"/>
      <c r="G133" s="100" t="s">
        <v>25</v>
      </c>
      <c r="H133" s="2855">
        <v>0</v>
      </c>
      <c r="I133" s="2856"/>
      <c r="J133" s="2862"/>
      <c r="K133" s="2863"/>
      <c r="L133" s="2834"/>
      <c r="M133" s="2835"/>
    </row>
    <row r="134" spans="1:33" ht="12" customHeight="1" thickBot="1">
      <c r="A134" s="274"/>
    </row>
    <row r="135" spans="1:33" ht="12" customHeight="1">
      <c r="A135" s="83" t="s">
        <v>130</v>
      </c>
      <c r="B135" s="2343" t="s">
        <v>100</v>
      </c>
      <c r="C135" s="2343"/>
      <c r="D135" s="2343"/>
      <c r="E135" s="2343"/>
      <c r="F135" s="2344"/>
      <c r="G135" s="2560" t="s">
        <v>257</v>
      </c>
      <c r="H135" s="2567" t="s">
        <v>369</v>
      </c>
      <c r="I135" s="2568"/>
      <c r="J135" s="2569" t="s">
        <v>0</v>
      </c>
      <c r="K135" s="2593"/>
      <c r="L135" s="2569" t="s">
        <v>1</v>
      </c>
      <c r="M135" s="2570"/>
    </row>
    <row r="136" spans="1:33" ht="12" customHeight="1">
      <c r="A136" s="84"/>
      <c r="B136" s="2562" t="s">
        <v>283</v>
      </c>
      <c r="C136" s="2562"/>
      <c r="D136" s="2718" t="s">
        <v>393</v>
      </c>
      <c r="E136" s="2718"/>
      <c r="F136" s="2719"/>
      <c r="G136" s="2561"/>
      <c r="H136" s="2720" t="s">
        <v>101</v>
      </c>
      <c r="I136" s="2718"/>
      <c r="J136" s="2716" t="s">
        <v>102</v>
      </c>
      <c r="K136" s="2717"/>
      <c r="L136" s="2721" t="s">
        <v>103</v>
      </c>
      <c r="M136" s="2722"/>
      <c r="N136" s="203"/>
      <c r="O136" s="2477" t="s">
        <v>198</v>
      </c>
      <c r="P136" s="2477"/>
      <c r="Q136" s="2477"/>
      <c r="R136" s="2477"/>
      <c r="S136" s="2477"/>
      <c r="T136" s="2477"/>
      <c r="U136" s="2477"/>
    </row>
    <row r="137" spans="1:33" ht="12" customHeight="1">
      <c r="A137" s="1248" t="s">
        <v>513</v>
      </c>
      <c r="B137" s="204" t="s">
        <v>413</v>
      </c>
      <c r="C137" s="275" t="s">
        <v>277</v>
      </c>
      <c r="D137" s="2743" t="s">
        <v>226</v>
      </c>
      <c r="E137" s="2744"/>
      <c r="F137" s="2745"/>
      <c r="G137" s="233" t="s">
        <v>16</v>
      </c>
      <c r="H137" s="2751">
        <v>15</v>
      </c>
      <c r="I137" s="2752"/>
      <c r="J137" s="2734">
        <v>1</v>
      </c>
      <c r="K137" s="2735"/>
      <c r="L137" s="2734">
        <v>1</v>
      </c>
      <c r="M137" s="2837"/>
      <c r="N137" s="248"/>
      <c r="O137" s="2457" t="s">
        <v>223</v>
      </c>
      <c r="P137" s="2458"/>
      <c r="Q137" s="2458"/>
      <c r="R137" s="2458"/>
      <c r="S137" s="2458"/>
      <c r="T137" s="2458"/>
      <c r="U137" s="2459"/>
    </row>
    <row r="138" spans="1:33" ht="12" customHeight="1">
      <c r="A138" s="1248" t="s">
        <v>396</v>
      </c>
      <c r="B138" s="276" t="s">
        <v>395</v>
      </c>
      <c r="C138" s="277" t="s">
        <v>272</v>
      </c>
      <c r="D138" s="2746"/>
      <c r="E138" s="2747"/>
      <c r="F138" s="2748"/>
      <c r="G138" s="1228" t="s">
        <v>18</v>
      </c>
      <c r="H138" s="2739">
        <v>10</v>
      </c>
      <c r="I138" s="2740"/>
      <c r="J138" s="2312"/>
      <c r="K138" s="2736"/>
      <c r="L138" s="2838"/>
      <c r="M138" s="2839"/>
      <c r="N138" s="248" t="s">
        <v>485</v>
      </c>
      <c r="O138" s="2460"/>
      <c r="P138" s="2461"/>
      <c r="Q138" s="2461"/>
      <c r="R138" s="2461"/>
      <c r="S138" s="2461"/>
      <c r="T138" s="2461"/>
      <c r="U138" s="2462"/>
    </row>
    <row r="139" spans="1:33" ht="12" customHeight="1">
      <c r="A139" s="1248" t="s">
        <v>356</v>
      </c>
      <c r="B139" s="185" t="s">
        <v>104</v>
      </c>
      <c r="C139" s="277" t="s">
        <v>268</v>
      </c>
      <c r="D139" s="2726" t="s">
        <v>266</v>
      </c>
      <c r="E139" s="2727"/>
      <c r="F139" s="2728"/>
      <c r="G139" s="235" t="s">
        <v>21</v>
      </c>
      <c r="H139" s="2749">
        <v>7</v>
      </c>
      <c r="I139" s="2750"/>
      <c r="J139" s="2296">
        <v>0.66</v>
      </c>
      <c r="K139" s="2339"/>
      <c r="L139" s="2312"/>
      <c r="M139" s="2313"/>
      <c r="N139" s="248"/>
      <c r="O139" s="2463"/>
      <c r="P139" s="2464"/>
      <c r="Q139" s="2464"/>
      <c r="R139" s="2464"/>
      <c r="S139" s="2464"/>
      <c r="T139" s="2464"/>
      <c r="U139" s="2465"/>
    </row>
    <row r="140" spans="1:33" ht="12" customHeight="1">
      <c r="A140" s="1248" t="s">
        <v>355</v>
      </c>
      <c r="B140" s="185" t="s">
        <v>105</v>
      </c>
      <c r="C140" s="277" t="s">
        <v>269</v>
      </c>
      <c r="D140" s="2726" t="s">
        <v>267</v>
      </c>
      <c r="E140" s="2727"/>
      <c r="F140" s="2728"/>
      <c r="G140" s="235" t="s">
        <v>23</v>
      </c>
      <c r="H140" s="2749">
        <v>4</v>
      </c>
      <c r="I140" s="2750"/>
      <c r="J140" s="2296">
        <v>0.5</v>
      </c>
      <c r="K140" s="2339"/>
      <c r="L140" s="2737">
        <v>2.5</v>
      </c>
      <c r="M140" s="2738"/>
      <c r="N140" s="248" t="s">
        <v>485</v>
      </c>
      <c r="O140" s="2463" t="s">
        <v>224</v>
      </c>
      <c r="P140" s="2464"/>
      <c r="Q140" s="2464"/>
      <c r="R140" s="2464"/>
      <c r="S140" s="2464"/>
      <c r="T140" s="2464"/>
      <c r="U140" s="2465"/>
    </row>
    <row r="141" spans="1:33" ht="12" customHeight="1" thickBot="1">
      <c r="A141" s="1248" t="s">
        <v>354</v>
      </c>
      <c r="B141" s="185" t="s">
        <v>276</v>
      </c>
      <c r="C141" s="2755" t="s">
        <v>273</v>
      </c>
      <c r="D141" s="2726"/>
      <c r="E141" s="2727"/>
      <c r="F141" s="2728"/>
      <c r="G141" s="235" t="s">
        <v>25</v>
      </c>
      <c r="H141" s="2757">
        <v>0</v>
      </c>
      <c r="I141" s="2758"/>
      <c r="J141" s="2296">
        <v>0.3</v>
      </c>
      <c r="K141" s="2339"/>
      <c r="L141" s="2296">
        <v>5</v>
      </c>
      <c r="M141" s="2297"/>
      <c r="N141" s="248" t="s">
        <v>485</v>
      </c>
      <c r="O141" s="2453" t="s">
        <v>225</v>
      </c>
      <c r="P141" s="2454"/>
      <c r="Q141" s="2454"/>
      <c r="R141" s="2455"/>
      <c r="S141" s="2455"/>
      <c r="T141" s="2455"/>
      <c r="U141" s="2456"/>
    </row>
    <row r="142" spans="1:33" ht="12" customHeight="1" thickTop="1">
      <c r="A142" s="1257" t="s">
        <v>592</v>
      </c>
      <c r="B142" s="278" t="s">
        <v>275</v>
      </c>
      <c r="C142" s="2756"/>
      <c r="D142" s="2726" t="s">
        <v>227</v>
      </c>
      <c r="E142" s="2727"/>
      <c r="F142" s="2728"/>
      <c r="G142" s="235" t="s">
        <v>27</v>
      </c>
      <c r="H142" s="2759"/>
      <c r="I142" s="2760"/>
      <c r="J142" s="2296">
        <v>0.15</v>
      </c>
      <c r="K142" s="2339"/>
      <c r="L142" s="1515">
        <v>5</v>
      </c>
      <c r="M142" s="2723" t="s">
        <v>544</v>
      </c>
      <c r="N142" s="248" t="s">
        <v>485</v>
      </c>
      <c r="O142" s="279" t="s">
        <v>271</v>
      </c>
      <c r="P142" s="2381" t="s">
        <v>641</v>
      </c>
      <c r="Q142" s="2382"/>
    </row>
    <row r="143" spans="1:33" ht="12" customHeight="1">
      <c r="A143" s="1262" t="s">
        <v>593</v>
      </c>
      <c r="B143" s="2725" t="s">
        <v>397</v>
      </c>
      <c r="C143" s="2282"/>
      <c r="D143" s="2729"/>
      <c r="E143" s="2730"/>
      <c r="F143" s="2731"/>
      <c r="G143" s="170" t="s">
        <v>29</v>
      </c>
      <c r="H143" s="2753" t="s">
        <v>274</v>
      </c>
      <c r="I143" s="2754"/>
      <c r="J143" s="2333">
        <v>0.08</v>
      </c>
      <c r="K143" s="2333"/>
      <c r="L143" s="1227">
        <v>5</v>
      </c>
      <c r="M143" s="2724"/>
      <c r="N143" s="248" t="s">
        <v>485</v>
      </c>
      <c r="O143" s="280" t="s">
        <v>270</v>
      </c>
      <c r="P143" s="2383"/>
      <c r="Q143" s="2384"/>
    </row>
    <row r="144" spans="1:33" ht="12" customHeight="1" thickBot="1">
      <c r="A144" s="281"/>
      <c r="B144" s="2741" t="s">
        <v>383</v>
      </c>
      <c r="C144" s="2741"/>
      <c r="D144" s="2741"/>
      <c r="E144" s="2741"/>
      <c r="F144" s="2741"/>
      <c r="G144" s="2741"/>
      <c r="H144" s="2741"/>
      <c r="I144" s="2741"/>
      <c r="J144" s="2741"/>
      <c r="K144" s="2741"/>
      <c r="L144" s="2741"/>
      <c r="M144" s="2742"/>
      <c r="O144" s="282"/>
      <c r="Q144" s="283"/>
      <c r="R144" s="284"/>
      <c r="S144" s="284"/>
      <c r="T144" s="283"/>
      <c r="U144" s="283"/>
      <c r="V144" s="285"/>
      <c r="W144" s="23"/>
      <c r="X144" s="23"/>
      <c r="Y144" s="23"/>
      <c r="Z144" s="23"/>
      <c r="AA144" s="23"/>
      <c r="AB144" s="23"/>
      <c r="AC144" s="23"/>
      <c r="AD144" s="23"/>
      <c r="AE144" s="23"/>
      <c r="AF144" s="23"/>
      <c r="AG144" s="23"/>
    </row>
    <row r="145" spans="1:41" ht="13.5" customHeight="1" thickBot="1">
      <c r="A145" s="286"/>
      <c r="B145" s="287"/>
      <c r="C145" s="287"/>
      <c r="D145" s="287"/>
      <c r="E145" s="287"/>
      <c r="F145" s="287"/>
      <c r="G145" s="287"/>
      <c r="H145" s="287"/>
      <c r="I145" s="287"/>
      <c r="J145" s="287"/>
      <c r="K145" s="287"/>
      <c r="L145" s="287"/>
      <c r="M145" s="287"/>
      <c r="Q145" s="2413" t="s">
        <v>294</v>
      </c>
      <c r="R145" s="2414"/>
      <c r="S145" s="2414"/>
      <c r="T145" s="2414"/>
      <c r="U145" s="2414"/>
      <c r="V145" s="2415"/>
      <c r="W145" s="23"/>
      <c r="X145" s="23"/>
      <c r="Y145" s="23"/>
      <c r="Z145" s="23"/>
      <c r="AA145" s="23"/>
      <c r="AB145" s="23"/>
      <c r="AC145" s="23"/>
      <c r="AD145" s="23"/>
      <c r="AE145" s="23"/>
      <c r="AF145" s="23"/>
      <c r="AG145" s="23"/>
    </row>
    <row r="146" spans="1:41" ht="12" customHeight="1">
      <c r="A146" s="83" t="s">
        <v>173</v>
      </c>
      <c r="B146" s="2343" t="s">
        <v>201</v>
      </c>
      <c r="C146" s="2343"/>
      <c r="D146" s="2343"/>
      <c r="E146" s="2343"/>
      <c r="F146" s="2344"/>
      <c r="G146" s="2560" t="s">
        <v>257</v>
      </c>
      <c r="H146" s="2510" t="s">
        <v>369</v>
      </c>
      <c r="I146" s="2342"/>
      <c r="J146" s="2335" t="s">
        <v>0</v>
      </c>
      <c r="K146" s="2342"/>
      <c r="L146" s="2335" t="s">
        <v>1</v>
      </c>
      <c r="M146" s="2336"/>
      <c r="O146" s="2365" t="s">
        <v>290</v>
      </c>
      <c r="Q146" s="2413"/>
      <c r="R146" s="2414"/>
      <c r="S146" s="2414"/>
      <c r="T146" s="2414"/>
      <c r="U146" s="2414"/>
      <c r="V146" s="2415"/>
      <c r="W146" s="23"/>
      <c r="X146" s="23"/>
      <c r="Y146" s="23"/>
      <c r="Z146" s="23"/>
      <c r="AA146" s="23"/>
      <c r="AB146" s="23"/>
      <c r="AC146" s="23"/>
      <c r="AD146" s="23"/>
      <c r="AE146" s="23"/>
      <c r="AF146" s="23"/>
      <c r="AG146" s="23"/>
    </row>
    <row r="147" spans="1:41" ht="12" customHeight="1">
      <c r="A147" s="84" t="s">
        <v>199</v>
      </c>
      <c r="B147" s="2562" t="s">
        <v>203</v>
      </c>
      <c r="C147" s="2562"/>
      <c r="D147" s="2562"/>
      <c r="E147" s="2562"/>
      <c r="F147" s="2563"/>
      <c r="G147" s="2561"/>
      <c r="H147" s="2761" t="s">
        <v>56</v>
      </c>
      <c r="I147" s="2762"/>
      <c r="J147" s="2732" t="s">
        <v>106</v>
      </c>
      <c r="K147" s="2733"/>
      <c r="L147" s="2340" t="s">
        <v>208</v>
      </c>
      <c r="M147" s="2341"/>
      <c r="N147" s="203"/>
      <c r="O147" s="2366"/>
      <c r="Q147" s="2416" t="s">
        <v>295</v>
      </c>
      <c r="R147" s="2417"/>
      <c r="S147" s="2417"/>
      <c r="T147" s="2417"/>
      <c r="U147" s="2417"/>
      <c r="V147" s="2418"/>
      <c r="W147" s="288"/>
      <c r="X147" s="288"/>
      <c r="Y147" s="288"/>
      <c r="Z147" s="289"/>
      <c r="AA147" s="23"/>
      <c r="AB147" s="23"/>
      <c r="AC147" s="23"/>
      <c r="AD147" s="23"/>
      <c r="AE147" s="23"/>
      <c r="AF147" s="23"/>
      <c r="AG147" s="23"/>
    </row>
    <row r="148" spans="1:41" ht="12" customHeight="1">
      <c r="A148" s="1248" t="s">
        <v>594</v>
      </c>
      <c r="B148" s="2356" t="s">
        <v>367</v>
      </c>
      <c r="C148" s="2700" t="s">
        <v>415</v>
      </c>
      <c r="D148" s="2701"/>
      <c r="E148" s="2701"/>
      <c r="F148" s="2702"/>
      <c r="G148" s="290" t="s">
        <v>16</v>
      </c>
      <c r="H148" s="2763" t="s">
        <v>229</v>
      </c>
      <c r="I148" s="2764"/>
      <c r="J148" s="2359">
        <v>2.5</v>
      </c>
      <c r="K148" s="2360"/>
      <c r="L148" s="2496">
        <v>0.1</v>
      </c>
      <c r="M148" s="2497"/>
      <c r="O148" s="2811" t="s">
        <v>248</v>
      </c>
      <c r="Q148" s="2385" t="s">
        <v>279</v>
      </c>
      <c r="R148" s="2386"/>
      <c r="S148" s="2393" t="s">
        <v>293</v>
      </c>
      <c r="T148" s="2394"/>
      <c r="U148" s="2393" t="s">
        <v>280</v>
      </c>
      <c r="V148" s="2402"/>
      <c r="W148" s="291"/>
      <c r="X148" s="291"/>
      <c r="Y148" s="291"/>
      <c r="Z148" s="2330"/>
      <c r="AA148" s="2330"/>
      <c r="AB148" s="2330"/>
      <c r="AC148" s="291"/>
      <c r="AD148" s="23"/>
      <c r="AE148" s="23"/>
      <c r="AF148" s="23"/>
      <c r="AG148" s="23"/>
    </row>
    <row r="149" spans="1:41" ht="12" customHeight="1">
      <c r="A149" s="1248" t="s">
        <v>362</v>
      </c>
      <c r="B149" s="2357"/>
      <c r="C149" s="2696" t="s">
        <v>1056</v>
      </c>
      <c r="D149" s="2697"/>
      <c r="E149" s="2697"/>
      <c r="F149" s="2698"/>
      <c r="G149" s="292" t="s">
        <v>18</v>
      </c>
      <c r="H149" s="2765"/>
      <c r="I149" s="2766"/>
      <c r="J149" s="2361"/>
      <c r="K149" s="2362"/>
      <c r="L149" s="2337">
        <v>0.5</v>
      </c>
      <c r="M149" s="2291"/>
      <c r="N149" s="147"/>
      <c r="O149" s="2812"/>
      <c r="Q149" s="2385"/>
      <c r="R149" s="2386"/>
      <c r="S149" s="2393"/>
      <c r="T149" s="2394"/>
      <c r="U149" s="2393"/>
      <c r="V149" s="2402"/>
      <c r="W149" s="293"/>
      <c r="X149" s="294"/>
      <c r="Y149" s="295"/>
      <c r="Z149" s="296"/>
      <c r="AA149" s="297"/>
      <c r="AB149" s="298"/>
      <c r="AC149" s="299"/>
      <c r="AD149" s="23"/>
      <c r="AE149" s="23"/>
      <c r="AF149" s="23"/>
      <c r="AG149" s="23"/>
    </row>
    <row r="150" spans="1:41" ht="12" customHeight="1">
      <c r="A150" s="1257" t="s">
        <v>363</v>
      </c>
      <c r="B150" s="2357"/>
      <c r="C150" s="2696" t="s">
        <v>160</v>
      </c>
      <c r="D150" s="2697"/>
      <c r="E150" s="2697"/>
      <c r="F150" s="2698"/>
      <c r="G150" s="1229" t="s">
        <v>21</v>
      </c>
      <c r="H150" s="2765"/>
      <c r="I150" s="2766"/>
      <c r="J150" s="2787">
        <v>1</v>
      </c>
      <c r="K150" s="2815"/>
      <c r="L150" s="2787">
        <v>1</v>
      </c>
      <c r="M150" s="2521"/>
      <c r="N150" s="109"/>
      <c r="O150" s="300">
        <v>1</v>
      </c>
      <c r="P150" s="301"/>
      <c r="Q150" s="2387"/>
      <c r="R150" s="2388"/>
      <c r="S150" s="2395"/>
      <c r="T150" s="2396"/>
      <c r="U150" s="2395"/>
      <c r="V150" s="2403"/>
      <c r="W150" s="302"/>
      <c r="X150" s="294"/>
      <c r="Y150" s="295"/>
      <c r="Z150" s="345" t="s">
        <v>773</v>
      </c>
      <c r="AA150" s="303"/>
      <c r="AB150" s="9"/>
      <c r="AC150" s="299"/>
      <c r="AD150" s="23"/>
      <c r="AE150" s="23"/>
      <c r="AF150" s="23"/>
      <c r="AG150" s="23"/>
    </row>
    <row r="151" spans="1:41" ht="12" customHeight="1" thickBot="1">
      <c r="A151" s="1258" t="s">
        <v>364</v>
      </c>
      <c r="B151" s="2849"/>
      <c r="C151" s="2346" t="s">
        <v>161</v>
      </c>
      <c r="D151" s="2347"/>
      <c r="E151" s="2347"/>
      <c r="F151" s="2348"/>
      <c r="G151" s="304" t="s">
        <v>23</v>
      </c>
      <c r="H151" s="2767"/>
      <c r="I151" s="2768"/>
      <c r="J151" s="2363">
        <v>0.67</v>
      </c>
      <c r="K151" s="2364"/>
      <c r="L151" s="2363">
        <v>1.5</v>
      </c>
      <c r="M151" s="2847"/>
      <c r="N151" s="176"/>
      <c r="O151" s="36" t="s">
        <v>150</v>
      </c>
      <c r="Q151" s="2389">
        <v>0.5</v>
      </c>
      <c r="R151" s="2390"/>
      <c r="S151" s="2397">
        <v>1</v>
      </c>
      <c r="T151" s="2398"/>
      <c r="U151" s="2397">
        <v>2</v>
      </c>
      <c r="V151" s="2400"/>
      <c r="W151" s="148" t="s">
        <v>281</v>
      </c>
      <c r="X151" s="294"/>
      <c r="Y151" s="295"/>
      <c r="Z151" s="296"/>
      <c r="AA151" s="303"/>
      <c r="AB151" s="9"/>
      <c r="AC151" s="299"/>
      <c r="AD151" s="23"/>
      <c r="AE151" s="23"/>
      <c r="AF151" s="23"/>
      <c r="AG151" s="23"/>
    </row>
    <row r="152" spans="1:41" ht="12" customHeight="1" thickTop="1">
      <c r="A152" s="126" t="s">
        <v>200</v>
      </c>
      <c r="B152" s="2610" t="s">
        <v>202</v>
      </c>
      <c r="C152" s="2610"/>
      <c r="D152" s="2610"/>
      <c r="E152" s="2610"/>
      <c r="F152" s="2783"/>
      <c r="G152" s="305"/>
      <c r="H152" s="2589" t="s">
        <v>56</v>
      </c>
      <c r="I152" s="2588"/>
      <c r="J152" s="2813" t="s">
        <v>106</v>
      </c>
      <c r="K152" s="2814"/>
      <c r="L152" s="2845" t="s">
        <v>240</v>
      </c>
      <c r="M152" s="2846"/>
      <c r="N152" s="176"/>
      <c r="O152" s="306"/>
      <c r="P152" s="307"/>
      <c r="Q152" s="2391">
        <v>2</v>
      </c>
      <c r="R152" s="2392"/>
      <c r="S152" s="2399">
        <v>1</v>
      </c>
      <c r="T152" s="2392"/>
      <c r="U152" s="2399">
        <v>0.5</v>
      </c>
      <c r="V152" s="2401"/>
      <c r="W152" s="148" t="s">
        <v>282</v>
      </c>
      <c r="X152" s="294"/>
      <c r="Y152" s="295"/>
      <c r="Z152" s="296"/>
      <c r="AA152" s="303"/>
      <c r="AB152" s="9"/>
      <c r="AC152" s="299"/>
      <c r="AD152" s="23"/>
      <c r="AE152" s="23"/>
      <c r="AF152" s="23"/>
      <c r="AG152" s="23"/>
    </row>
    <row r="153" spans="1:41" ht="12" customHeight="1">
      <c r="A153" s="1248" t="s">
        <v>599</v>
      </c>
      <c r="B153" s="2356" t="s">
        <v>278</v>
      </c>
      <c r="C153" s="308" t="s">
        <v>241</v>
      </c>
      <c r="D153" s="2701" t="s">
        <v>242</v>
      </c>
      <c r="E153" s="2800"/>
      <c r="F153" s="2848"/>
      <c r="G153" s="206" t="s">
        <v>25</v>
      </c>
      <c r="H153" s="2777" t="s">
        <v>229</v>
      </c>
      <c r="I153" s="2778"/>
      <c r="J153" s="2361">
        <v>25</v>
      </c>
      <c r="K153" s="2362"/>
      <c r="L153" s="309" t="s">
        <v>476</v>
      </c>
      <c r="M153" s="1230">
        <v>0.75</v>
      </c>
      <c r="O153" s="310" t="s">
        <v>153</v>
      </c>
      <c r="U153" s="26"/>
      <c r="V153" s="302"/>
      <c r="W153" s="294"/>
      <c r="X153" s="295"/>
      <c r="Y153" s="23"/>
      <c r="Z153" s="296"/>
      <c r="AA153" s="303"/>
      <c r="AB153" s="9"/>
      <c r="AC153" s="299"/>
      <c r="AD153" s="23"/>
      <c r="AE153" s="23"/>
      <c r="AF153" s="23"/>
      <c r="AG153" s="23"/>
    </row>
    <row r="154" spans="1:41" ht="12" customHeight="1">
      <c r="A154" s="1248" t="s">
        <v>598</v>
      </c>
      <c r="B154" s="2357"/>
      <c r="C154" s="311" t="s">
        <v>243</v>
      </c>
      <c r="D154" s="2697" t="s">
        <v>244</v>
      </c>
      <c r="E154" s="2598"/>
      <c r="F154" s="2998"/>
      <c r="G154" s="187" t="s">
        <v>27</v>
      </c>
      <c r="H154" s="2779"/>
      <c r="I154" s="2780"/>
      <c r="J154" s="2337">
        <v>100</v>
      </c>
      <c r="K154" s="2338"/>
      <c r="L154" s="312" t="s">
        <v>476</v>
      </c>
      <c r="M154" s="1231">
        <v>0.4</v>
      </c>
      <c r="O154" s="313" t="s">
        <v>151</v>
      </c>
      <c r="U154" s="26"/>
      <c r="V154" s="302"/>
      <c r="W154" s="294"/>
      <c r="X154" s="295"/>
      <c r="Y154" s="23"/>
      <c r="Z154" s="296"/>
      <c r="AA154" s="303"/>
      <c r="AB154" s="9"/>
      <c r="AC154" s="299"/>
      <c r="AD154" s="23"/>
      <c r="AE154" s="23"/>
      <c r="AF154" s="23"/>
      <c r="AG154" s="23"/>
    </row>
    <row r="155" spans="1:41" ht="12" customHeight="1">
      <c r="A155" s="1248" t="s">
        <v>456</v>
      </c>
      <c r="B155" s="2358"/>
      <c r="C155" s="2283" t="s">
        <v>108</v>
      </c>
      <c r="D155" s="2284"/>
      <c r="E155" s="2284"/>
      <c r="F155" s="2285"/>
      <c r="G155" s="255" t="s">
        <v>29</v>
      </c>
      <c r="H155" s="2779"/>
      <c r="I155" s="2780"/>
      <c r="J155" s="2993">
        <v>300</v>
      </c>
      <c r="K155" s="2864"/>
      <c r="L155" s="314" t="s">
        <v>476</v>
      </c>
      <c r="M155" s="1232">
        <v>0.15</v>
      </c>
      <c r="N155" s="247"/>
      <c r="O155" s="315" t="s">
        <v>152</v>
      </c>
      <c r="R155" s="223" t="s">
        <v>457</v>
      </c>
      <c r="S155" s="223"/>
      <c r="T155" s="223"/>
      <c r="U155" s="223"/>
      <c r="V155" s="223"/>
      <c r="W155" s="223"/>
      <c r="X155" s="223"/>
      <c r="Y155" s="316"/>
      <c r="Z155" s="317"/>
      <c r="AA155" s="318"/>
      <c r="AB155" s="319"/>
      <c r="AC155" s="14"/>
      <c r="AD155" s="316"/>
      <c r="AE155" s="319"/>
      <c r="AF155" s="320"/>
      <c r="AG155" s="23"/>
    </row>
    <row r="156" spans="1:41" ht="12" customHeight="1">
      <c r="A156" s="1257" t="s">
        <v>407</v>
      </c>
      <c r="B156" s="2999" t="s">
        <v>193</v>
      </c>
      <c r="C156" s="3000"/>
      <c r="D156" s="3006" t="s">
        <v>109</v>
      </c>
      <c r="E156" s="2626"/>
      <c r="F156" s="3007"/>
      <c r="G156" s="233" t="s">
        <v>52</v>
      </c>
      <c r="H156" s="2779"/>
      <c r="I156" s="2780"/>
      <c r="J156" s="2361">
        <v>10</v>
      </c>
      <c r="K156" s="2362"/>
      <c r="L156" s="321" t="s">
        <v>476</v>
      </c>
      <c r="M156" s="1233">
        <v>0.75</v>
      </c>
      <c r="O156" s="322" t="s">
        <v>154</v>
      </c>
      <c r="Q156" s="3003" t="s">
        <v>500</v>
      </c>
      <c r="R156" s="3004"/>
      <c r="S156" s="3005"/>
      <c r="T156" s="2801" t="s">
        <v>458</v>
      </c>
      <c r="U156" s="2802"/>
      <c r="V156" s="2422" t="s">
        <v>459</v>
      </c>
      <c r="W156" s="2802"/>
      <c r="X156" s="2422" t="s">
        <v>460</v>
      </c>
      <c r="Y156" s="2802"/>
      <c r="Z156" s="2422" t="s">
        <v>461</v>
      </c>
      <c r="AA156" s="2802"/>
      <c r="AB156" s="2422" t="s">
        <v>462</v>
      </c>
      <c r="AC156" s="2423"/>
      <c r="AD156" s="2444" t="s">
        <v>463</v>
      </c>
      <c r="AE156" s="2445"/>
      <c r="AF156" s="2446"/>
      <c r="AG156" s="14"/>
    </row>
    <row r="157" spans="1:41" ht="12" customHeight="1">
      <c r="A157" s="1263" t="s">
        <v>595</v>
      </c>
      <c r="B157" s="3001"/>
      <c r="C157" s="3002"/>
      <c r="D157" s="2353" t="s">
        <v>110</v>
      </c>
      <c r="E157" s="2354"/>
      <c r="F157" s="2355"/>
      <c r="G157" s="250" t="s">
        <v>54</v>
      </c>
      <c r="H157" s="2820"/>
      <c r="I157" s="2843"/>
      <c r="J157" s="2844">
        <v>20</v>
      </c>
      <c r="K157" s="2997"/>
      <c r="L157" s="314" t="s">
        <v>476</v>
      </c>
      <c r="M157" s="1234">
        <v>0.5</v>
      </c>
      <c r="N157" s="203"/>
      <c r="O157" s="323" t="s">
        <v>155</v>
      </c>
      <c r="Q157" s="2986" t="s">
        <v>470</v>
      </c>
      <c r="R157" s="2987"/>
      <c r="S157" s="2988"/>
      <c r="T157" s="2803" t="s">
        <v>464</v>
      </c>
      <c r="U157" s="2447"/>
      <c r="V157" s="2424" t="s">
        <v>465</v>
      </c>
      <c r="W157" s="2447"/>
      <c r="X157" s="2424" t="s">
        <v>466</v>
      </c>
      <c r="Y157" s="2447"/>
      <c r="Z157" s="2424" t="s">
        <v>467</v>
      </c>
      <c r="AA157" s="2447"/>
      <c r="AB157" s="2424" t="s">
        <v>468</v>
      </c>
      <c r="AC157" s="2425"/>
      <c r="AD157" s="2448" t="s">
        <v>469</v>
      </c>
      <c r="AE157" s="2449"/>
      <c r="AF157" s="2450"/>
      <c r="AG157" s="14"/>
    </row>
    <row r="158" spans="1:41" ht="12" customHeight="1" thickBot="1">
      <c r="A158" s="324"/>
      <c r="B158" s="2991" t="s">
        <v>516</v>
      </c>
      <c r="C158" s="2991"/>
      <c r="D158" s="2991"/>
      <c r="E158" s="2991"/>
      <c r="F158" s="2991"/>
      <c r="G158" s="2991"/>
      <c r="H158" s="2991"/>
      <c r="I158" s="2991"/>
      <c r="J158" s="2991"/>
      <c r="K158" s="2991"/>
      <c r="L158" s="2991"/>
      <c r="M158" s="2992"/>
      <c r="N158" s="325"/>
      <c r="R158" s="326"/>
      <c r="S158" s="326"/>
      <c r="T158" s="326"/>
      <c r="V158" s="327"/>
      <c r="W158" s="328"/>
      <c r="X158" s="329"/>
      <c r="Y158" s="23"/>
      <c r="Z158" s="299"/>
      <c r="AA158" s="23"/>
      <c r="AB158" s="23"/>
      <c r="AC158" s="23"/>
      <c r="AD158" s="23"/>
      <c r="AE158" s="23"/>
      <c r="AF158" s="23"/>
      <c r="AG158" s="23"/>
    </row>
    <row r="159" spans="1:41" ht="13.5" customHeight="1" thickBot="1">
      <c r="A159" s="330"/>
      <c r="B159" s="252"/>
      <c r="C159" s="252"/>
      <c r="D159" s="252"/>
      <c r="E159" s="252"/>
      <c r="F159" s="331"/>
      <c r="G159" s="332"/>
      <c r="O159" s="1423" t="s">
        <v>803</v>
      </c>
      <c r="P159" s="333"/>
      <c r="Q159" s="224"/>
      <c r="R159" s="224"/>
      <c r="S159" s="224"/>
      <c r="T159" s="224"/>
      <c r="U159" s="224"/>
      <c r="V159" s="26"/>
      <c r="W159" s="26"/>
      <c r="X159" s="26"/>
      <c r="Y159" s="26"/>
      <c r="Z159" s="20"/>
      <c r="AA159" s="20"/>
      <c r="AB159" s="20"/>
      <c r="AC159" s="288"/>
      <c r="AD159" s="288"/>
      <c r="AE159" s="288"/>
      <c r="AF159" s="23"/>
      <c r="AG159" s="23"/>
    </row>
    <row r="160" spans="1:41" ht="12" customHeight="1">
      <c r="A160" s="83" t="s">
        <v>213</v>
      </c>
      <c r="B160" s="2343" t="s">
        <v>492</v>
      </c>
      <c r="C160" s="2343"/>
      <c r="D160" s="2343"/>
      <c r="E160" s="2343"/>
      <c r="F160" s="2344"/>
      <c r="G160" s="2560" t="s">
        <v>257</v>
      </c>
      <c r="H160" s="2345" t="s">
        <v>371</v>
      </c>
      <c r="I160" s="2334"/>
      <c r="J160" s="2334" t="s">
        <v>0</v>
      </c>
      <c r="K160" s="2334"/>
      <c r="L160" s="2334" t="s">
        <v>1</v>
      </c>
      <c r="M160" s="2934"/>
      <c r="O160" s="2407" t="s">
        <v>471</v>
      </c>
      <c r="P160" s="2408"/>
      <c r="Q160" s="2409"/>
      <c r="R160" s="2994" t="s">
        <v>493</v>
      </c>
      <c r="S160" s="2995"/>
      <c r="T160" s="2996"/>
      <c r="U160" s="2404" t="s">
        <v>760</v>
      </c>
      <c r="V160" s="2405"/>
      <c r="W160" s="2406"/>
      <c r="X160" s="2919" t="s">
        <v>472</v>
      </c>
      <c r="Y160" s="2920"/>
      <c r="Z160" s="2920"/>
      <c r="AA160" s="2920"/>
      <c r="AB160" s="2920"/>
      <c r="AC160" s="2921"/>
      <c r="AD160" s="2896" t="s">
        <v>502</v>
      </c>
      <c r="AE160" s="2897"/>
      <c r="AF160" s="288"/>
      <c r="AG160" s="23"/>
      <c r="AH160" s="23"/>
      <c r="AI160" s="23"/>
      <c r="AJ160" s="23"/>
      <c r="AK160" s="23"/>
      <c r="AL160" s="23"/>
      <c r="AM160" s="23"/>
      <c r="AN160" s="334"/>
      <c r="AO160" s="334"/>
    </row>
    <row r="161" spans="1:39" ht="12" customHeight="1">
      <c r="A161" s="84" t="s">
        <v>214</v>
      </c>
      <c r="B161" s="2989" t="s">
        <v>205</v>
      </c>
      <c r="C161" s="2989"/>
      <c r="D161" s="2989"/>
      <c r="E161" s="2989"/>
      <c r="F161" s="2990"/>
      <c r="G161" s="2561"/>
      <c r="H161" s="2720" t="s">
        <v>56</v>
      </c>
      <c r="I161" s="2773"/>
      <c r="J161" s="2531" t="s">
        <v>106</v>
      </c>
      <c r="K161" s="2773"/>
      <c r="L161" s="2531" t="s">
        <v>478</v>
      </c>
      <c r="M161" s="2532"/>
      <c r="O161" s="2410"/>
      <c r="P161" s="2411"/>
      <c r="Q161" s="2412"/>
      <c r="R161" s="2935" t="s">
        <v>474</v>
      </c>
      <c r="S161" s="2936"/>
      <c r="T161" s="2937"/>
      <c r="U161" s="2419" t="s">
        <v>473</v>
      </c>
      <c r="V161" s="2420"/>
      <c r="W161" s="2421"/>
      <c r="X161" s="2419" t="s">
        <v>475</v>
      </c>
      <c r="Y161" s="2421"/>
      <c r="Z161" s="2914" t="s">
        <v>480</v>
      </c>
      <c r="AA161" s="2915"/>
      <c r="AB161" s="2916" t="s">
        <v>481</v>
      </c>
      <c r="AC161" s="2917"/>
      <c r="AD161" s="2918" t="s">
        <v>477</v>
      </c>
      <c r="AE161" s="2412"/>
      <c r="AF161" s="335"/>
      <c r="AG161" s="23"/>
      <c r="AH161" s="23"/>
      <c r="AI161" s="23"/>
      <c r="AJ161" s="303"/>
      <c r="AK161" s="23"/>
      <c r="AL161" s="61"/>
      <c r="AM161" s="61"/>
    </row>
    <row r="162" spans="1:39" ht="12" customHeight="1">
      <c r="A162" s="1254" t="s">
        <v>625</v>
      </c>
      <c r="B162" s="478" t="s">
        <v>624</v>
      </c>
      <c r="C162" s="462"/>
      <c r="D162" s="463"/>
      <c r="E162" s="463"/>
      <c r="F162" s="464"/>
      <c r="G162" s="254" t="s">
        <v>27</v>
      </c>
      <c r="H162" s="2590" t="s">
        <v>230</v>
      </c>
      <c r="I162" s="2501"/>
      <c r="J162" s="2349">
        <v>5</v>
      </c>
      <c r="K162" s="2350"/>
      <c r="L162" s="309" t="s">
        <v>476</v>
      </c>
      <c r="M162" s="336">
        <f>AD162</f>
        <v>0.37534430267026925</v>
      </c>
      <c r="O162" s="211" t="str">
        <f>B162</f>
        <v>Unknown type</v>
      </c>
      <c r="P162" s="346"/>
      <c r="Q162" s="347"/>
      <c r="R162" s="2369">
        <v>50</v>
      </c>
      <c r="S162" s="2370"/>
      <c r="T162" s="2371"/>
      <c r="U162" s="2922">
        <v>0.5</v>
      </c>
      <c r="V162" s="2370"/>
      <c r="W162" s="2371"/>
      <c r="X162" s="2922">
        <v>1E-3</v>
      </c>
      <c r="Y162" s="2371"/>
      <c r="Z162" s="2923">
        <f>X162*1000</f>
        <v>1</v>
      </c>
      <c r="AA162" s="2924"/>
      <c r="AB162" s="2925">
        <f>X162^0.33</f>
        <v>0.10232929922807543</v>
      </c>
      <c r="AC162" s="2926"/>
      <c r="AD162" s="2940">
        <f>R162*0.2*(U162^0.5)*(X162^(0.37*U162^(-0.2)))</f>
        <v>0.37534430267026925</v>
      </c>
      <c r="AE162" s="2941"/>
      <c r="AF162" s="319"/>
      <c r="AG162" s="23"/>
      <c r="AH162" s="339"/>
      <c r="AI162" s="339"/>
      <c r="AJ162" s="61"/>
      <c r="AK162" s="61"/>
      <c r="AL162" s="61"/>
      <c r="AM162" s="61"/>
    </row>
    <row r="163" spans="1:39" ht="12" customHeight="1">
      <c r="A163" s="1254" t="s">
        <v>340</v>
      </c>
      <c r="B163" s="211" t="s">
        <v>533</v>
      </c>
      <c r="C163" s="340"/>
      <c r="D163" s="341"/>
      <c r="E163" s="458"/>
      <c r="F163" s="459"/>
      <c r="G163" s="235" t="s">
        <v>29</v>
      </c>
      <c r="H163" s="2591"/>
      <c r="I163" s="2503"/>
      <c r="J163" s="2296">
        <v>5</v>
      </c>
      <c r="K163" s="2339"/>
      <c r="L163" s="321" t="s">
        <v>476</v>
      </c>
      <c r="M163" s="446">
        <f>AD163</f>
        <v>0.4966966822238868</v>
      </c>
      <c r="O163" s="211" t="str">
        <f>B163</f>
        <v>Crushed zone, clay-free</v>
      </c>
      <c r="P163" s="337"/>
      <c r="Q163" s="338"/>
      <c r="R163" s="2932">
        <v>75</v>
      </c>
      <c r="S163" s="2933"/>
      <c r="T163" s="2909"/>
      <c r="U163" s="2908">
        <v>1</v>
      </c>
      <c r="V163" s="2933"/>
      <c r="W163" s="2909"/>
      <c r="X163" s="2908">
        <v>1E-4</v>
      </c>
      <c r="Y163" s="2909"/>
      <c r="Z163" s="2910">
        <f>X163*1000</f>
        <v>0.1</v>
      </c>
      <c r="AA163" s="2911"/>
      <c r="AB163" s="2912">
        <f>X163^0.33</f>
        <v>4.7863009232263845E-2</v>
      </c>
      <c r="AC163" s="2913"/>
      <c r="AD163" s="2906">
        <f>R163*0.2*(U163^0.5)*(X163^(0.37*U163^(-0.2)))</f>
        <v>0.4966966822238868</v>
      </c>
      <c r="AE163" s="2907"/>
      <c r="AF163" s="319"/>
      <c r="AH163" s="339"/>
      <c r="AI163" s="339"/>
      <c r="AJ163" s="61"/>
      <c r="AK163" s="61"/>
      <c r="AL163" s="61"/>
      <c r="AM163" s="61"/>
    </row>
    <row r="164" spans="1:39" ht="12" customHeight="1">
      <c r="A164" s="1254" t="s">
        <v>491</v>
      </c>
      <c r="B164" s="211" t="s">
        <v>763</v>
      </c>
      <c r="C164" s="340"/>
      <c r="D164" s="341"/>
      <c r="E164" s="458"/>
      <c r="F164" s="459"/>
      <c r="G164" s="235" t="s">
        <v>52</v>
      </c>
      <c r="H164" s="2591"/>
      <c r="I164" s="2503"/>
      <c r="J164" s="2296">
        <v>7.5</v>
      </c>
      <c r="K164" s="2339"/>
      <c r="L164" s="312" t="s">
        <v>476</v>
      </c>
      <c r="M164" s="342">
        <f>AD164</f>
        <v>4.0598977782204525E-2</v>
      </c>
      <c r="O164" s="211" t="str">
        <f>B164</f>
        <v>Crushed zone, with clayey joints</v>
      </c>
      <c r="P164" s="343"/>
      <c r="Q164" s="344"/>
      <c r="R164" s="2955">
        <v>50</v>
      </c>
      <c r="S164" s="2956"/>
      <c r="T164" s="2957"/>
      <c r="U164" s="2898">
        <v>0.2</v>
      </c>
      <c r="V164" s="2931"/>
      <c r="W164" s="2899"/>
      <c r="X164" s="2898">
        <v>1E-4</v>
      </c>
      <c r="Y164" s="2899"/>
      <c r="Z164" s="2900">
        <f>X164*1000</f>
        <v>0.1</v>
      </c>
      <c r="AA164" s="2901"/>
      <c r="AB164" s="2902">
        <f>X164^0.33</f>
        <v>4.7863009232263845E-2</v>
      </c>
      <c r="AC164" s="2903"/>
      <c r="AD164" s="2904">
        <f>R164*0.2*(U164^0.5)*(X164^(0.37*U164^(-0.2)))</f>
        <v>4.0598977782204525E-2</v>
      </c>
      <c r="AE164" s="2905"/>
      <c r="AF164" s="319"/>
      <c r="AH164" s="339"/>
      <c r="AI164" s="339"/>
      <c r="AJ164" s="61"/>
      <c r="AK164" s="61"/>
      <c r="AL164" s="61"/>
      <c r="AM164" s="61"/>
    </row>
    <row r="165" spans="1:39" ht="12" customHeight="1">
      <c r="A165" s="1254" t="s">
        <v>642</v>
      </c>
      <c r="B165" s="450" t="s">
        <v>534</v>
      </c>
      <c r="C165" s="457"/>
      <c r="D165" s="460"/>
      <c r="E165" s="460"/>
      <c r="F165" s="461"/>
      <c r="G165" s="479" t="s">
        <v>54</v>
      </c>
      <c r="H165" s="2927"/>
      <c r="I165" s="2635"/>
      <c r="J165" s="2351">
        <v>10</v>
      </c>
      <c r="K165" s="2352"/>
      <c r="L165" s="314" t="s">
        <v>476</v>
      </c>
      <c r="M165" s="447">
        <f>AD165</f>
        <v>5.0000000000000001E-3</v>
      </c>
      <c r="O165" s="450" t="str">
        <f>B165</f>
        <v>Zone filled with soft material</v>
      </c>
      <c r="P165" s="448"/>
      <c r="Q165" s="449"/>
      <c r="R165" s="2372">
        <v>0.01</v>
      </c>
      <c r="S165" s="2373"/>
      <c r="T165" s="2374"/>
      <c r="U165" s="2928" t="s">
        <v>774</v>
      </c>
      <c r="V165" s="2929"/>
      <c r="W165" s="2930"/>
      <c r="X165" s="2951">
        <v>1E-4</v>
      </c>
      <c r="Y165" s="2374"/>
      <c r="Z165" s="2942">
        <f>X165*1000</f>
        <v>0.1</v>
      </c>
      <c r="AA165" s="2943"/>
      <c r="AB165" s="2944">
        <f>X165^0.33</f>
        <v>4.7863009232263845E-2</v>
      </c>
      <c r="AC165" s="2945"/>
      <c r="AD165" s="2946">
        <f>R165*0.5</f>
        <v>5.0000000000000001E-3</v>
      </c>
      <c r="AE165" s="2947"/>
      <c r="AF165" s="1208" t="s">
        <v>775</v>
      </c>
      <c r="AG165" s="23"/>
      <c r="AH165" s="339"/>
      <c r="AI165" s="339"/>
      <c r="AJ165" s="61"/>
      <c r="AK165" s="61"/>
      <c r="AL165" s="339"/>
      <c r="AM165" s="339"/>
    </row>
    <row r="166" spans="1:39" ht="12" customHeight="1" thickBot="1">
      <c r="A166" s="546"/>
      <c r="N166" s="147"/>
      <c r="O166" s="1494" t="s">
        <v>781</v>
      </c>
    </row>
    <row r="167" spans="1:39" ht="12.6" customHeight="1" thickTop="1">
      <c r="A167" s="1411" t="s">
        <v>215</v>
      </c>
      <c r="B167" s="1412" t="s">
        <v>220</v>
      </c>
      <c r="C167" s="1412"/>
      <c r="D167" s="1412"/>
      <c r="E167" s="1412"/>
      <c r="F167" s="1413"/>
      <c r="G167" s="1414"/>
      <c r="H167" s="1415" t="s">
        <v>56</v>
      </c>
      <c r="I167" s="1416"/>
      <c r="J167" s="1416" t="s">
        <v>56</v>
      </c>
      <c r="K167" s="1417"/>
      <c r="L167" s="1418" t="s">
        <v>138</v>
      </c>
      <c r="M167" s="1419"/>
      <c r="N167" s="75"/>
      <c r="O167" s="348" t="s">
        <v>377</v>
      </c>
      <c r="P167" s="75"/>
      <c r="Q167" s="75"/>
      <c r="R167" s="75"/>
      <c r="S167" s="75"/>
      <c r="T167" s="75"/>
      <c r="U167" s="75"/>
      <c r="V167" s="75"/>
      <c r="W167" s="75"/>
    </row>
    <row r="168" spans="1:39" ht="16.5" customHeight="1">
      <c r="A168" s="349"/>
      <c r="B168" s="2973" t="s">
        <v>184</v>
      </c>
      <c r="C168" s="2974"/>
      <c r="D168" s="2975"/>
      <c r="E168" s="2975"/>
      <c r="F168" s="2976"/>
      <c r="G168" s="1480" t="s">
        <v>231</v>
      </c>
      <c r="H168" s="2977" t="s">
        <v>229</v>
      </c>
      <c r="I168" s="2978"/>
      <c r="J168" s="2983" t="s">
        <v>229</v>
      </c>
      <c r="K168" s="2978"/>
      <c r="L168" s="2984" t="s">
        <v>800</v>
      </c>
      <c r="M168" s="2985"/>
      <c r="N168" s="109"/>
      <c r="O168" s="2979" t="s">
        <v>148</v>
      </c>
      <c r="P168" s="2980"/>
      <c r="Q168" s="2426" t="s">
        <v>315</v>
      </c>
      <c r="R168" s="2427"/>
      <c r="S168" s="2427"/>
      <c r="T168" s="2427"/>
      <c r="U168" s="2427"/>
      <c r="V168" s="2428"/>
      <c r="W168" s="2948" t="s">
        <v>316</v>
      </c>
      <c r="X168" s="2949"/>
      <c r="Y168" s="2949"/>
      <c r="Z168" s="2949"/>
      <c r="AA168" s="2949"/>
      <c r="AB168" s="2950"/>
      <c r="AC168" s="2426" t="s">
        <v>245</v>
      </c>
      <c r="AD168" s="2427"/>
      <c r="AE168" s="2427"/>
      <c r="AF168" s="2428"/>
    </row>
    <row r="169" spans="1:39" ht="12.75" customHeight="1" thickBot="1">
      <c r="A169" s="1483"/>
      <c r="B169" s="1481"/>
      <c r="C169" s="1481"/>
      <c r="D169" s="1481"/>
      <c r="E169" s="1481"/>
      <c r="F169" s="1481"/>
      <c r="G169" s="1484"/>
      <c r="H169" s="1481"/>
      <c r="I169" s="1481"/>
      <c r="J169" s="1481"/>
      <c r="K169" s="1481"/>
      <c r="L169" s="1481"/>
      <c r="M169" s="1482"/>
      <c r="N169" s="147"/>
      <c r="O169" s="2981"/>
      <c r="P169" s="2982"/>
      <c r="Q169" s="2539" t="s">
        <v>291</v>
      </c>
      <c r="R169" s="2540"/>
      <c r="S169" s="2541"/>
      <c r="T169" s="2540" t="s">
        <v>300</v>
      </c>
      <c r="U169" s="2540"/>
      <c r="V169" s="2542"/>
      <c r="W169" s="2952" t="s">
        <v>301</v>
      </c>
      <c r="X169" s="2953"/>
      <c r="Y169" s="2954"/>
      <c r="Z169" s="2938" t="s">
        <v>302</v>
      </c>
      <c r="AA169" s="2442"/>
      <c r="AB169" s="2939"/>
      <c r="AC169" s="1247" t="s">
        <v>284</v>
      </c>
      <c r="AD169" s="2429" t="s">
        <v>300</v>
      </c>
      <c r="AE169" s="2430"/>
      <c r="AF169" s="2431"/>
    </row>
    <row r="170" spans="1:39" ht="14.25" customHeight="1" thickTop="1">
      <c r="A170" s="351" t="s">
        <v>216</v>
      </c>
      <c r="B170" s="2971" t="s">
        <v>221</v>
      </c>
      <c r="C170" s="2971"/>
      <c r="D170" s="2971"/>
      <c r="E170" s="2971"/>
      <c r="F170" s="2972"/>
      <c r="G170" s="1473"/>
      <c r="H170" s="2962" t="s">
        <v>56</v>
      </c>
      <c r="I170" s="2717"/>
      <c r="J170" s="2716" t="s">
        <v>56</v>
      </c>
      <c r="K170" s="2717"/>
      <c r="L170" s="2721" t="s">
        <v>479</v>
      </c>
      <c r="M170" s="2722"/>
      <c r="N170" s="350"/>
      <c r="O170" s="2323" t="s">
        <v>96</v>
      </c>
      <c r="P170" s="2324"/>
      <c r="Q170" s="2327" t="s">
        <v>286</v>
      </c>
      <c r="R170" s="2328"/>
      <c r="S170" s="2329"/>
      <c r="T170" s="1476"/>
      <c r="U170" s="1477" t="s">
        <v>159</v>
      </c>
      <c r="V170" s="1485">
        <v>15</v>
      </c>
      <c r="W170" s="2545" t="s">
        <v>286</v>
      </c>
      <c r="X170" s="2546"/>
      <c r="Y170" s="2547"/>
      <c r="Z170" s="1478"/>
      <c r="AA170" s="1479" t="s">
        <v>159</v>
      </c>
      <c r="AB170" s="1485">
        <v>15</v>
      </c>
      <c r="AC170" s="2262" t="s">
        <v>149</v>
      </c>
      <c r="AD170" s="1488"/>
      <c r="AE170" s="1476"/>
      <c r="AF170" s="506"/>
    </row>
    <row r="171" spans="1:39" ht="12" customHeight="1">
      <c r="A171" s="1248" t="s">
        <v>409</v>
      </c>
      <c r="B171" s="2356" t="s">
        <v>96</v>
      </c>
      <c r="C171" s="2700"/>
      <c r="D171" s="2701"/>
      <c r="E171" s="2701"/>
      <c r="F171" s="2702"/>
      <c r="G171" s="88" t="s">
        <v>16</v>
      </c>
      <c r="H171" s="2590" t="s">
        <v>229</v>
      </c>
      <c r="I171" s="2501"/>
      <c r="J171" s="2500" t="s">
        <v>229</v>
      </c>
      <c r="K171" s="2501"/>
      <c r="L171" s="2968">
        <v>1</v>
      </c>
      <c r="M171" s="2969"/>
      <c r="N171" s="203"/>
      <c r="O171" s="2325"/>
      <c r="P171" s="2326"/>
      <c r="Q171" s="209"/>
      <c r="R171" s="1474" t="s">
        <v>158</v>
      </c>
      <c r="S171" s="1207">
        <v>70</v>
      </c>
      <c r="T171" s="2512" t="s">
        <v>286</v>
      </c>
      <c r="U171" s="2513"/>
      <c r="V171" s="2514"/>
      <c r="W171" s="1475"/>
      <c r="X171" s="1474" t="s">
        <v>158</v>
      </c>
      <c r="Y171" s="1207">
        <v>70</v>
      </c>
      <c r="Z171" s="2439" t="s">
        <v>286</v>
      </c>
      <c r="AA171" s="2438"/>
      <c r="AB171" s="2440"/>
      <c r="AC171" s="2263"/>
      <c r="AD171" s="1486"/>
      <c r="AE171" s="1487" t="s">
        <v>158</v>
      </c>
      <c r="AF171" s="1410">
        <v>60</v>
      </c>
    </row>
    <row r="172" spans="1:39" ht="12" customHeight="1">
      <c r="A172" s="1248" t="s">
        <v>352</v>
      </c>
      <c r="B172" s="2357" t="s">
        <v>97</v>
      </c>
      <c r="C172" s="2696"/>
      <c r="D172" s="2697"/>
      <c r="E172" s="2697"/>
      <c r="F172" s="2698"/>
      <c r="G172" s="92" t="s">
        <v>18</v>
      </c>
      <c r="H172" s="2591"/>
      <c r="I172" s="2503"/>
      <c r="J172" s="2502"/>
      <c r="K172" s="2503"/>
      <c r="L172" s="2963">
        <v>1</v>
      </c>
      <c r="M172" s="2964"/>
      <c r="N172" s="207"/>
      <c r="O172" s="1196" t="s">
        <v>97</v>
      </c>
      <c r="P172" s="1197"/>
      <c r="Q172" s="57"/>
      <c r="R172" s="212" t="s">
        <v>159</v>
      </c>
      <c r="S172" s="1201">
        <v>20</v>
      </c>
      <c r="T172" s="352"/>
      <c r="U172" s="212" t="s">
        <v>159</v>
      </c>
      <c r="V172" s="1204">
        <v>20</v>
      </c>
      <c r="W172" s="352"/>
      <c r="X172" s="212" t="s">
        <v>159</v>
      </c>
      <c r="Y172" s="1201">
        <v>20</v>
      </c>
      <c r="Z172" s="353"/>
      <c r="AA172" s="212" t="s">
        <v>159</v>
      </c>
      <c r="AB172" s="1204">
        <v>20</v>
      </c>
      <c r="AC172" s="2263"/>
      <c r="AD172" s="1209">
        <v>45</v>
      </c>
      <c r="AE172" s="210" t="s">
        <v>77</v>
      </c>
      <c r="AF172" s="1204">
        <v>60</v>
      </c>
    </row>
    <row r="173" spans="1:39" ht="12" customHeight="1">
      <c r="A173" s="1248" t="s">
        <v>178</v>
      </c>
      <c r="B173" s="2357" t="s">
        <v>34</v>
      </c>
      <c r="C173" s="2696"/>
      <c r="D173" s="2697"/>
      <c r="E173" s="2697"/>
      <c r="F173" s="2698"/>
      <c r="G173" s="92" t="s">
        <v>21</v>
      </c>
      <c r="H173" s="2591"/>
      <c r="I173" s="2503"/>
      <c r="J173" s="2502"/>
      <c r="K173" s="2503"/>
      <c r="L173" s="2559">
        <v>1.5</v>
      </c>
      <c r="M173" s="2572"/>
      <c r="O173" s="2468" t="s">
        <v>34</v>
      </c>
      <c r="P173" s="2469"/>
      <c r="Q173" s="354"/>
      <c r="R173" s="212" t="s">
        <v>159</v>
      </c>
      <c r="S173" s="1201">
        <v>20</v>
      </c>
      <c r="T173" s="1200">
        <v>20</v>
      </c>
      <c r="U173" s="210" t="s">
        <v>56</v>
      </c>
      <c r="V173" s="1204">
        <v>45</v>
      </c>
      <c r="W173" s="355"/>
      <c r="X173" s="212" t="s">
        <v>159</v>
      </c>
      <c r="Y173" s="1201">
        <v>20</v>
      </c>
      <c r="Z173" s="356"/>
      <c r="AA173" s="212" t="s">
        <v>287</v>
      </c>
      <c r="AB173" s="1204">
        <v>60</v>
      </c>
      <c r="AC173" s="2263"/>
      <c r="AD173" s="2466">
        <v>30</v>
      </c>
      <c r="AE173" s="2437" t="s">
        <v>77</v>
      </c>
      <c r="AF173" s="2451">
        <v>45</v>
      </c>
    </row>
    <row r="174" spans="1:39" ht="12" customHeight="1">
      <c r="A174" s="1257" t="s">
        <v>353</v>
      </c>
      <c r="B174" s="2357" t="s">
        <v>98</v>
      </c>
      <c r="C174" s="2696"/>
      <c r="D174" s="2697"/>
      <c r="E174" s="2697"/>
      <c r="F174" s="2698"/>
      <c r="G174" s="92" t="s">
        <v>23</v>
      </c>
      <c r="H174" s="2591"/>
      <c r="I174" s="2503"/>
      <c r="J174" s="2502"/>
      <c r="K174" s="2503"/>
      <c r="L174" s="2559">
        <v>2</v>
      </c>
      <c r="M174" s="2572"/>
      <c r="N174" s="213"/>
      <c r="O174" s="2325"/>
      <c r="P174" s="2470"/>
      <c r="Q174" s="1200">
        <v>20</v>
      </c>
      <c r="R174" s="210" t="s">
        <v>56</v>
      </c>
      <c r="S174" s="1201">
        <v>70</v>
      </c>
      <c r="T174" s="357"/>
      <c r="U174" s="212" t="s">
        <v>159</v>
      </c>
      <c r="V174" s="1204">
        <v>45</v>
      </c>
      <c r="W174" s="1206">
        <v>20</v>
      </c>
      <c r="X174" s="358" t="s">
        <v>56</v>
      </c>
      <c r="Y174" s="1207">
        <v>70</v>
      </c>
      <c r="Z174" s="2439" t="s">
        <v>286</v>
      </c>
      <c r="AA174" s="2438"/>
      <c r="AB174" s="2440"/>
      <c r="AC174" s="2263"/>
      <c r="AD174" s="2467"/>
      <c r="AE174" s="2438"/>
      <c r="AF174" s="2452"/>
    </row>
    <row r="175" spans="1:39" ht="12" customHeight="1">
      <c r="A175" s="1249" t="s">
        <v>560</v>
      </c>
      <c r="B175" s="2358" t="s">
        <v>99</v>
      </c>
      <c r="C175" s="2283"/>
      <c r="D175" s="2284"/>
      <c r="E175" s="2284"/>
      <c r="F175" s="2285"/>
      <c r="G175" s="273" t="s">
        <v>25</v>
      </c>
      <c r="H175" s="2927"/>
      <c r="I175" s="2635"/>
      <c r="J175" s="2970"/>
      <c r="K175" s="2635"/>
      <c r="L175" s="2656">
        <v>3</v>
      </c>
      <c r="M175" s="2967"/>
      <c r="N175" s="213"/>
      <c r="O175" s="1196" t="s">
        <v>98</v>
      </c>
      <c r="P175" s="1197"/>
      <c r="Q175" s="1200">
        <v>20</v>
      </c>
      <c r="R175" s="359" t="s">
        <v>77</v>
      </c>
      <c r="S175" s="1201">
        <v>70</v>
      </c>
      <c r="T175" s="1200">
        <v>45</v>
      </c>
      <c r="U175" s="210" t="s">
        <v>56</v>
      </c>
      <c r="V175" s="1204">
        <v>90</v>
      </c>
      <c r="W175" s="360"/>
      <c r="X175" s="212" t="s">
        <v>159</v>
      </c>
      <c r="Y175" s="1201">
        <v>20</v>
      </c>
      <c r="Z175" s="25"/>
      <c r="AA175" s="212" t="s">
        <v>158</v>
      </c>
      <c r="AB175" s="1204">
        <v>60</v>
      </c>
      <c r="AC175" s="2263"/>
      <c r="AD175" s="1209">
        <v>15</v>
      </c>
      <c r="AE175" s="210" t="s">
        <v>77</v>
      </c>
      <c r="AF175" s="1204">
        <v>30</v>
      </c>
    </row>
    <row r="176" spans="1:39" ht="14.25" customHeight="1" thickBot="1">
      <c r="A176" s="161"/>
      <c r="B176" s="2965" t="s">
        <v>228</v>
      </c>
      <c r="C176" s="2965"/>
      <c r="D176" s="2965"/>
      <c r="E176" s="2965"/>
      <c r="F176" s="2965"/>
      <c r="G176" s="2965"/>
      <c r="H176" s="2965"/>
      <c r="I176" s="2965"/>
      <c r="J176" s="2965"/>
      <c r="K176" s="2965"/>
      <c r="L176" s="2965"/>
      <c r="M176" s="2966"/>
      <c r="N176" s="213"/>
      <c r="O176" s="1198" t="s">
        <v>99</v>
      </c>
      <c r="P176" s="1199"/>
      <c r="Q176" s="361"/>
      <c r="R176" s="221" t="s">
        <v>159</v>
      </c>
      <c r="S176" s="1202">
        <v>20</v>
      </c>
      <c r="T176" s="1203">
        <v>45</v>
      </c>
      <c r="U176" s="362" t="s">
        <v>56</v>
      </c>
      <c r="V176" s="1205">
        <v>90</v>
      </c>
      <c r="W176" s="363"/>
      <c r="X176" s="362" t="s">
        <v>56</v>
      </c>
      <c r="Y176" s="364"/>
      <c r="Z176" s="365"/>
      <c r="AA176" s="366" t="s">
        <v>56</v>
      </c>
      <c r="AB176" s="222"/>
      <c r="AC176" s="2264"/>
      <c r="AD176" s="363"/>
      <c r="AE176" s="221" t="s">
        <v>159</v>
      </c>
      <c r="AF176" s="1205">
        <v>15</v>
      </c>
    </row>
    <row r="177" spans="1:32" ht="14.25" customHeight="1">
      <c r="A177" s="367"/>
      <c r="B177" s="164"/>
      <c r="C177" s="164"/>
      <c r="D177" s="164"/>
      <c r="E177" s="164"/>
      <c r="F177" s="164"/>
      <c r="G177" s="164"/>
      <c r="H177" s="164"/>
      <c r="I177" s="164"/>
      <c r="J177" s="164"/>
      <c r="K177" s="164"/>
      <c r="L177" s="164"/>
      <c r="M177" s="164"/>
      <c r="N177" s="26"/>
      <c r="O177" s="519"/>
      <c r="P177" s="512"/>
      <c r="Q177" s="520"/>
      <c r="R177" s="520"/>
      <c r="S177" s="512"/>
      <c r="T177" s="513"/>
      <c r="U177" s="520"/>
      <c r="V177" s="521"/>
      <c r="W177" s="522"/>
      <c r="X177" s="522"/>
      <c r="Y177" s="522"/>
      <c r="Z177" s="522"/>
      <c r="AA177" s="522"/>
      <c r="AB177" s="523"/>
      <c r="AC177" s="522"/>
      <c r="AD177" s="520"/>
      <c r="AE177" s="521"/>
      <c r="AF177" s="524"/>
    </row>
    <row r="178" spans="1:32" ht="12" customHeight="1">
      <c r="A178" s="288"/>
      <c r="B178" s="289"/>
      <c r="C178" s="368"/>
      <c r="D178" s="368"/>
      <c r="E178" s="368"/>
      <c r="F178" s="368"/>
      <c r="G178" s="369"/>
      <c r="H178" s="1250" t="s">
        <v>780</v>
      </c>
      <c r="I178" s="370"/>
      <c r="J178" s="369"/>
      <c r="K178" s="369"/>
      <c r="L178" s="369"/>
      <c r="M178" s="369"/>
      <c r="N178" s="288"/>
      <c r="O178" s="525"/>
      <c r="P178" s="26"/>
      <c r="Q178" s="26"/>
      <c r="R178" s="1507" t="s">
        <v>321</v>
      </c>
      <c r="S178" s="224"/>
      <c r="T178" s="224"/>
      <c r="U178" s="224"/>
      <c r="V178" s="224"/>
      <c r="W178" s="224"/>
      <c r="X178" s="224"/>
      <c r="Y178" s="224"/>
      <c r="Z178" s="26"/>
      <c r="AA178" s="26"/>
      <c r="AB178" s="26"/>
      <c r="AC178" s="26"/>
      <c r="AD178" s="26"/>
      <c r="AE178" s="26"/>
      <c r="AF178" s="526"/>
    </row>
    <row r="179" spans="1:32" ht="12" customHeight="1">
      <c r="A179" s="303"/>
      <c r="B179" s="2959"/>
      <c r="C179" s="371"/>
      <c r="D179" s="217"/>
      <c r="E179" s="270"/>
      <c r="F179" s="26"/>
      <c r="G179" s="217"/>
      <c r="H179" s="271"/>
      <c r="I179" s="271"/>
      <c r="J179" s="271"/>
      <c r="K179" s="271"/>
      <c r="L179" s="271"/>
      <c r="M179" s="271"/>
      <c r="N179" s="23"/>
      <c r="O179" s="527"/>
      <c r="P179" s="26"/>
      <c r="Q179" s="26"/>
      <c r="R179" s="26"/>
      <c r="S179" s="528" t="s">
        <v>416</v>
      </c>
      <c r="T179" s="372"/>
      <c r="V179" s="372"/>
      <c r="W179" s="536" t="s">
        <v>288</v>
      </c>
      <c r="X179" s="372"/>
      <c r="Y179" s="372"/>
      <c r="Z179" s="372"/>
      <c r="AA179" s="26"/>
      <c r="AB179" s="26"/>
      <c r="AC179" s="26"/>
      <c r="AD179" s="26"/>
      <c r="AE179" s="26"/>
      <c r="AF179" s="526"/>
    </row>
    <row r="180" spans="1:32" ht="12" customHeight="1">
      <c r="A180" s="373"/>
      <c r="B180" s="2959"/>
      <c r="C180" s="371"/>
      <c r="D180" s="40"/>
      <c r="E180" s="270"/>
      <c r="F180" s="217"/>
      <c r="G180" s="217"/>
      <c r="H180" s="271"/>
      <c r="I180" s="271"/>
      <c r="J180" s="271"/>
      <c r="O180" s="529"/>
      <c r="P180" s="26"/>
      <c r="Q180" s="26"/>
      <c r="R180" s="530" t="s">
        <v>313</v>
      </c>
      <c r="S180" s="1195">
        <v>10</v>
      </c>
      <c r="T180" s="535" t="str">
        <f>IF(S180&gt;90,"input is &gt;90","")</f>
        <v/>
      </c>
      <c r="V180" s="374"/>
      <c r="W180" s="374"/>
      <c r="X180" s="375" t="str">
        <f>IF(S180="","",IF(S181&gt;'Parameter tables'!AF171,'Parameter tables'!O170,IF(S181&gt;='Parameter tables'!AD172,'Parameter tables'!O172,IF(S181&gt;='Parameter tables'!AD173,'Parameter tables'!O173,IF(S181&gt;='Parameter tables'!AD175,'Parameter tables'!O175,'Parameter tables'!O176)))))</f>
        <v>Very unfavourable</v>
      </c>
      <c r="Y180" s="376" t="s">
        <v>207</v>
      </c>
      <c r="Z180" s="26"/>
      <c r="AA180" s="26"/>
      <c r="AB180" s="26"/>
      <c r="AC180" s="26"/>
      <c r="AD180" s="26"/>
      <c r="AE180" s="26"/>
      <c r="AF180" s="526"/>
    </row>
    <row r="181" spans="1:32" ht="12" customHeight="1">
      <c r="A181" s="373"/>
      <c r="B181" s="2961"/>
      <c r="C181" s="371"/>
      <c r="D181" s="377"/>
      <c r="E181" s="270"/>
      <c r="F181" s="377"/>
      <c r="G181" s="377"/>
      <c r="H181" s="271"/>
      <c r="I181" s="271"/>
      <c r="J181" s="271"/>
      <c r="K181" s="271"/>
      <c r="L181" s="271"/>
      <c r="M181" s="271"/>
      <c r="N181" s="23"/>
      <c r="O181" s="527"/>
      <c r="P181" s="26"/>
      <c r="Q181" s="26"/>
      <c r="R181" s="530" t="s">
        <v>314</v>
      </c>
      <c r="S181" s="1195">
        <v>0</v>
      </c>
      <c r="T181" s="535" t="str">
        <f>IF(S181&gt;90,"input is &gt;90","")</f>
        <v/>
      </c>
      <c r="V181" s="56"/>
      <c r="W181" s="55"/>
      <c r="X181" s="378" t="str">
        <f>IF(S181="","",IF(S181&lt;V170,O170,IF(S180&gt;'Parameter tables'!S171,'Parameter tables'!O170,IF(AND(S180&lt;'Parameter tables'!S172,S181&lt;'Parameter tables'!V172,S181&gt;'Parameter tables'!T172),'Parameter tables'!O172,IF(AND(S180&lt;'Parameter tables'!S173,S181&lt;='Parameter tables'!V173,S181&gt;='Parameter tables'!T173),'Parameter tables'!O173,IF(AND(S180&lt;='Parameter tables'!S174,S180&gt;='Parameter tables'!Q174,S181&lt;'Parameter tables'!V174),'Parameter tables'!O173,IF(AND(S180&lt;='Parameter tables'!S175,S180&gt;='Parameter tables'!Q175,S181&lt;='Parameter tables'!V175,S181&gt;='Parameter tables'!T175),'Parameter tables'!O175,IF(AND(S180&lt;'Parameter tables'!S176,S181&lt;='Parameter tables'!V176,S181&gt;='Parameter tables'!T176),'Parameter tables'!O176,"?"))))))))</f>
        <v>Very favourable</v>
      </c>
      <c r="Y181" s="379" t="s">
        <v>289</v>
      </c>
      <c r="Z181" s="26"/>
      <c r="AA181" s="26"/>
      <c r="AB181" s="26"/>
      <c r="AC181" s="26"/>
      <c r="AD181" s="26"/>
      <c r="AE181" s="26"/>
      <c r="AF181" s="526"/>
    </row>
    <row r="182" spans="1:32" ht="12" customHeight="1">
      <c r="A182" s="288"/>
      <c r="B182" s="2961"/>
      <c r="C182" s="371"/>
      <c r="D182" s="368"/>
      <c r="E182" s="270"/>
      <c r="F182" s="368"/>
      <c r="G182" s="368"/>
      <c r="H182" s="380"/>
      <c r="I182" s="380"/>
      <c r="J182" s="380"/>
      <c r="K182" s="380"/>
      <c r="L182" s="380"/>
      <c r="M182" s="380"/>
      <c r="N182" s="23"/>
      <c r="O182" s="527"/>
      <c r="P182" s="26"/>
      <c r="Q182" s="26"/>
      <c r="R182" s="531"/>
      <c r="S182" s="531"/>
      <c r="T182" s="531"/>
      <c r="V182" s="55"/>
      <c r="W182" s="55"/>
      <c r="X182" s="378" t="str">
        <f>IF(S181="","",IF(S181&lt;AB170,O170,IF(S180&gt;'Parameter tables'!Y171,'Parameter tables'!O170,IF(AND(S180&lt;'Parameter tables'!Y172,S181&lt;'Parameter tables'!AB172),'Parameter tables'!O172,IF(AND(S180&lt;'Parameter tables'!Y173,S181&lt;='Parameter tables'!AB173),'Parameter tables'!O173,IF(AND(S180&lt;='Parameter tables'!Y174,S180&gt;='Parameter tables'!W174),'Parameter tables'!O173,IF(AND(S180&lt;'Parameter tables'!Y175,S181&gt;'Parameter tables'!AB175),'Parameter tables'!O175,"?")))))))</f>
        <v>Very favourable</v>
      </c>
      <c r="Y182" s="381" t="s">
        <v>323</v>
      </c>
      <c r="Z182" s="382"/>
      <c r="AA182" s="26"/>
      <c r="AB182" s="26"/>
      <c r="AC182" s="26"/>
      <c r="AD182" s="26"/>
      <c r="AE182" s="26"/>
      <c r="AF182" s="526"/>
    </row>
    <row r="183" spans="1:32" ht="16.5" customHeight="1">
      <c r="A183" s="303"/>
      <c r="B183" s="2961"/>
      <c r="C183" s="371"/>
      <c r="D183" s="40"/>
      <c r="E183" s="270"/>
      <c r="F183" s="40"/>
      <c r="G183" s="40"/>
      <c r="H183" s="2958"/>
      <c r="I183" s="2958"/>
      <c r="J183" s="2958"/>
      <c r="K183" s="383"/>
      <c r="L183" s="383"/>
      <c r="M183" s="383"/>
      <c r="N183" s="23"/>
      <c r="O183" s="527"/>
      <c r="P183" s="26"/>
      <c r="Q183" s="26"/>
      <c r="R183" s="532" t="s">
        <v>398</v>
      </c>
      <c r="S183" s="26"/>
      <c r="T183" s="26"/>
      <c r="U183" s="26"/>
      <c r="V183" s="26"/>
      <c r="W183" s="26"/>
      <c r="X183" s="26"/>
      <c r="Y183" s="26"/>
      <c r="Z183" s="26"/>
      <c r="AA183" s="26"/>
      <c r="AB183" s="26"/>
      <c r="AC183" s="26"/>
      <c r="AD183" s="26"/>
      <c r="AE183" s="26"/>
      <c r="AF183" s="526"/>
    </row>
    <row r="184" spans="1:32" ht="12" customHeight="1">
      <c r="A184" s="303"/>
      <c r="B184" s="2960"/>
      <c r="C184" s="371"/>
      <c r="D184" s="40"/>
      <c r="E184" s="270"/>
      <c r="F184" s="26"/>
      <c r="G184" s="40"/>
      <c r="H184" s="2958"/>
      <c r="I184" s="2958"/>
      <c r="J184" s="2958"/>
      <c r="K184" s="383"/>
      <c r="L184" s="383"/>
      <c r="M184" s="383"/>
      <c r="N184" s="23"/>
      <c r="O184" s="533"/>
      <c r="P184" s="283"/>
      <c r="Q184" s="283"/>
      <c r="R184" s="283"/>
      <c r="S184" s="283"/>
      <c r="T184" s="283"/>
      <c r="U184" s="283"/>
      <c r="V184" s="283"/>
      <c r="W184" s="283"/>
      <c r="X184" s="283"/>
      <c r="Y184" s="283"/>
      <c r="Z184" s="283"/>
      <c r="AA184" s="283"/>
      <c r="AB184" s="283"/>
      <c r="AC184" s="283"/>
      <c r="AD184" s="283"/>
      <c r="AE184" s="283"/>
      <c r="AF184" s="534"/>
    </row>
    <row r="185" spans="1:32" ht="12" customHeight="1">
      <c r="A185" s="303"/>
      <c r="B185" s="2960"/>
      <c r="C185" s="371"/>
      <c r="D185" s="40"/>
      <c r="E185" s="270"/>
      <c r="F185" s="40"/>
      <c r="G185" s="40"/>
      <c r="H185" s="2958"/>
      <c r="I185" s="2958"/>
      <c r="J185" s="2958"/>
      <c r="K185" s="383"/>
      <c r="L185" s="383"/>
      <c r="M185" s="383"/>
      <c r="N185" s="23"/>
      <c r="O185" s="23"/>
    </row>
    <row r="186" spans="1:32" ht="12" customHeight="1">
      <c r="A186" s="303"/>
      <c r="B186" s="2960"/>
      <c r="C186" s="371"/>
      <c r="D186" s="40"/>
      <c r="E186" s="270"/>
      <c r="F186" s="40"/>
      <c r="G186" s="40"/>
      <c r="H186" s="2958"/>
      <c r="I186" s="2958"/>
      <c r="J186" s="2958"/>
      <c r="K186" s="40"/>
      <c r="L186" s="40"/>
      <c r="M186" s="40"/>
      <c r="N186" s="384"/>
      <c r="O186" s="23"/>
    </row>
    <row r="187" spans="1:32" ht="12" customHeight="1">
      <c r="A187" s="303"/>
      <c r="B187" s="125"/>
      <c r="C187" s="40"/>
      <c r="D187" s="40"/>
      <c r="E187" s="40"/>
      <c r="F187" s="40"/>
      <c r="G187" s="270"/>
      <c r="H187" s="25"/>
      <c r="I187" s="25"/>
      <c r="J187" s="25"/>
      <c r="K187" s="383"/>
      <c r="L187" s="383"/>
      <c r="M187" s="383"/>
      <c r="N187" s="384"/>
      <c r="O187" s="23"/>
    </row>
    <row r="188" spans="1:32" ht="12" customHeight="1">
      <c r="A188" s="303"/>
      <c r="B188" s="125"/>
      <c r="C188" s="14"/>
      <c r="D188" s="14"/>
      <c r="E188" s="14"/>
      <c r="F188" s="14"/>
      <c r="G188" s="335"/>
      <c r="H188" s="383"/>
      <c r="I188" s="383"/>
      <c r="J188" s="383"/>
      <c r="K188" s="383"/>
      <c r="L188" s="383"/>
      <c r="M188" s="383"/>
      <c r="N188" s="384"/>
      <c r="O188" s="23"/>
    </row>
    <row r="189" spans="1:32" ht="12.75" customHeight="1">
      <c r="A189" s="373"/>
      <c r="B189" s="371"/>
      <c r="C189" s="40"/>
      <c r="D189" s="40"/>
      <c r="E189" s="40"/>
      <c r="F189" s="40"/>
      <c r="G189" s="270"/>
      <c r="H189" s="383"/>
      <c r="I189" s="383"/>
      <c r="J189" s="383"/>
      <c r="K189" s="383"/>
      <c r="L189" s="383"/>
      <c r="M189" s="383"/>
      <c r="N189" s="384"/>
      <c r="O189" s="23"/>
    </row>
    <row r="190" spans="1:32" ht="23.25" customHeight="1">
      <c r="A190" s="303"/>
      <c r="B190" s="371"/>
      <c r="C190" s="9"/>
      <c r="D190" s="9"/>
      <c r="E190" s="9"/>
      <c r="F190" s="9"/>
      <c r="G190" s="270"/>
      <c r="H190" s="383"/>
      <c r="I190" s="383"/>
      <c r="J190" s="383"/>
      <c r="K190" s="383"/>
      <c r="L190" s="383"/>
      <c r="M190" s="383"/>
      <c r="N190" s="384"/>
      <c r="O190" s="23"/>
    </row>
    <row r="191" spans="1:32">
      <c r="A191" s="385"/>
      <c r="B191" s="372"/>
      <c r="C191" s="372"/>
      <c r="D191" s="372"/>
      <c r="E191" s="372"/>
      <c r="F191" s="386"/>
      <c r="G191" s="387"/>
      <c r="H191" s="385"/>
      <c r="I191" s="388"/>
      <c r="J191" s="389"/>
      <c r="K191" s="224"/>
      <c r="L191" s="297"/>
      <c r="M191" s="386"/>
      <c r="N191" s="26"/>
    </row>
    <row r="192" spans="1:32">
      <c r="A192" s="390"/>
      <c r="B192" s="372"/>
      <c r="C192" s="372"/>
      <c r="D192" s="372"/>
      <c r="E192" s="372"/>
      <c r="F192" s="386"/>
      <c r="G192" s="387"/>
      <c r="H192" s="385"/>
      <c r="I192" s="388"/>
      <c r="J192" s="389"/>
      <c r="K192" s="224"/>
      <c r="L192" s="297"/>
      <c r="M192" s="386"/>
      <c r="N192" s="26"/>
    </row>
    <row r="193" spans="1:14">
      <c r="A193" s="391"/>
      <c r="B193" s="372"/>
      <c r="C193" s="372"/>
      <c r="D193" s="372"/>
      <c r="E193" s="372"/>
      <c r="F193" s="386"/>
      <c r="G193" s="387"/>
      <c r="H193" s="385"/>
      <c r="I193" s="388"/>
      <c r="J193" s="389"/>
      <c r="K193" s="224"/>
      <c r="L193" s="297"/>
      <c r="M193" s="386"/>
      <c r="N193" s="26"/>
    </row>
    <row r="194" spans="1:14">
      <c r="A194" s="391"/>
      <c r="B194" s="372"/>
      <c r="C194" s="372"/>
      <c r="D194" s="372"/>
      <c r="E194" s="372"/>
      <c r="F194" s="386"/>
      <c r="G194" s="387"/>
      <c r="H194" s="385"/>
      <c r="I194" s="388"/>
      <c r="J194" s="389"/>
      <c r="K194" s="224"/>
      <c r="L194" s="297"/>
      <c r="M194" s="386"/>
      <c r="N194" s="26"/>
    </row>
    <row r="195" spans="1:14">
      <c r="A195" s="391"/>
      <c r="B195" s="372"/>
      <c r="C195" s="372"/>
      <c r="D195" s="388"/>
      <c r="E195" s="388"/>
      <c r="F195" s="13"/>
      <c r="G195" s="13"/>
      <c r="H195" s="13"/>
      <c r="I195" s="13"/>
      <c r="J195" s="13"/>
      <c r="K195" s="13"/>
      <c r="L195" s="13"/>
      <c r="M195" s="386"/>
      <c r="N195" s="26"/>
    </row>
    <row r="196" spans="1:14" ht="12.75" customHeight="1">
      <c r="A196" s="391"/>
      <c r="B196" s="372"/>
      <c r="C196" s="372"/>
      <c r="D196" s="2331"/>
      <c r="E196" s="2331"/>
      <c r="F196" s="2331"/>
      <c r="G196" s="392"/>
      <c r="H196" s="392"/>
      <c r="I196" s="392"/>
      <c r="J196" s="392"/>
      <c r="K196" s="392"/>
      <c r="L196" s="2332"/>
      <c r="M196" s="2332"/>
      <c r="N196" s="26"/>
    </row>
    <row r="197" spans="1:14">
      <c r="A197" s="391"/>
      <c r="B197" s="372"/>
      <c r="C197" s="372"/>
      <c r="D197" s="2331"/>
      <c r="E197" s="2331"/>
      <c r="F197" s="2331"/>
      <c r="G197" s="392"/>
      <c r="H197" s="392"/>
      <c r="I197" s="392"/>
      <c r="J197" s="392"/>
      <c r="K197" s="392"/>
      <c r="L197" s="2332"/>
      <c r="M197" s="2332"/>
      <c r="N197" s="26"/>
    </row>
    <row r="198" spans="1:14">
      <c r="A198" s="391"/>
      <c r="B198" s="372"/>
      <c r="C198" s="372"/>
      <c r="D198" s="388"/>
      <c r="E198" s="388"/>
      <c r="F198" s="13"/>
      <c r="G198" s="13"/>
      <c r="H198" s="13"/>
      <c r="I198" s="13"/>
      <c r="J198" s="13"/>
      <c r="K198" s="13"/>
      <c r="L198" s="13"/>
      <c r="M198" s="386"/>
      <c r="N198" s="26"/>
    </row>
    <row r="199" spans="1:14">
      <c r="A199" s="390"/>
      <c r="B199" s="372"/>
      <c r="C199" s="372"/>
      <c r="D199" s="372"/>
      <c r="E199" s="372"/>
      <c r="F199" s="387"/>
      <c r="G199" s="387"/>
      <c r="H199" s="385"/>
      <c r="I199" s="372"/>
      <c r="J199" s="393"/>
      <c r="K199" s="224"/>
      <c r="L199" s="385"/>
      <c r="M199" s="387"/>
      <c r="N199" s="26"/>
    </row>
    <row r="200" spans="1:14">
      <c r="A200" s="391"/>
      <c r="B200" s="372"/>
      <c r="C200" s="372"/>
      <c r="D200" s="372"/>
      <c r="E200" s="372"/>
      <c r="F200" s="387"/>
      <c r="G200" s="387"/>
      <c r="H200" s="385"/>
      <c r="I200" s="372"/>
      <c r="J200" s="393"/>
      <c r="K200" s="224"/>
      <c r="L200" s="385"/>
      <c r="M200" s="387"/>
      <c r="N200" s="26"/>
    </row>
    <row r="201" spans="1:14">
      <c r="A201" s="391"/>
      <c r="B201" s="372"/>
      <c r="C201" s="372"/>
      <c r="D201" s="372"/>
      <c r="E201" s="372"/>
      <c r="F201" s="387"/>
      <c r="G201" s="387"/>
      <c r="H201" s="385"/>
      <c r="I201" s="372"/>
      <c r="J201" s="393"/>
      <c r="K201" s="224"/>
      <c r="L201" s="385"/>
      <c r="M201" s="387"/>
      <c r="N201" s="26"/>
    </row>
    <row r="202" spans="1:14">
      <c r="A202" s="391"/>
      <c r="B202" s="372"/>
      <c r="C202" s="372"/>
      <c r="D202" s="372"/>
      <c r="E202" s="372"/>
      <c r="F202" s="387"/>
      <c r="G202" s="387"/>
      <c r="H202" s="385"/>
      <c r="I202" s="372"/>
      <c r="J202" s="393"/>
      <c r="K202" s="224"/>
      <c r="L202" s="385"/>
      <c r="M202" s="385"/>
      <c r="N202" s="26"/>
    </row>
    <row r="203" spans="1:14">
      <c r="A203" s="391"/>
      <c r="B203" s="372"/>
      <c r="C203" s="372"/>
      <c r="D203" s="372"/>
      <c r="E203" s="372"/>
      <c r="F203" s="387"/>
      <c r="G203" s="387"/>
      <c r="H203" s="385"/>
      <c r="I203" s="394"/>
      <c r="J203" s="395"/>
      <c r="K203" s="394"/>
      <c r="L203" s="396"/>
      <c r="M203" s="396"/>
      <c r="N203" s="26"/>
    </row>
    <row r="204" spans="1:14">
      <c r="A204" s="397"/>
      <c r="B204" s="372"/>
      <c r="C204" s="372"/>
      <c r="D204" s="372"/>
      <c r="E204" s="372"/>
      <c r="F204" s="385"/>
      <c r="G204" s="372"/>
      <c r="H204" s="372"/>
      <c r="I204" s="372"/>
      <c r="J204" s="372"/>
      <c r="K204" s="372"/>
      <c r="L204" s="385"/>
      <c r="M204" s="372"/>
      <c r="N204" s="26"/>
    </row>
    <row r="205" spans="1:14">
      <c r="A205" s="224"/>
      <c r="B205" s="372"/>
      <c r="C205" s="372"/>
      <c r="D205" s="372"/>
      <c r="E205" s="372"/>
      <c r="F205" s="385"/>
      <c r="G205" s="372"/>
      <c r="H205" s="372"/>
      <c r="I205" s="372"/>
      <c r="J205" s="372"/>
      <c r="K205" s="372"/>
      <c r="L205" s="385"/>
      <c r="M205" s="372"/>
      <c r="N205" s="26"/>
    </row>
    <row r="206" spans="1:14">
      <c r="A206" s="224"/>
      <c r="B206" s="372"/>
      <c r="C206" s="372"/>
      <c r="D206" s="372"/>
      <c r="E206" s="372"/>
      <c r="F206" s="385"/>
      <c r="G206" s="372"/>
      <c r="H206" s="372"/>
      <c r="I206" s="372"/>
      <c r="J206" s="372"/>
      <c r="K206" s="372"/>
      <c r="L206" s="385"/>
      <c r="M206" s="372"/>
      <c r="N206" s="26"/>
    </row>
    <row r="207" spans="1:14">
      <c r="A207" s="224"/>
      <c r="B207" s="372"/>
      <c r="C207" s="372"/>
      <c r="D207" s="372"/>
      <c r="E207" s="372"/>
      <c r="F207" s="385"/>
      <c r="G207" s="372"/>
      <c r="H207" s="372"/>
      <c r="I207" s="372"/>
      <c r="J207" s="372"/>
      <c r="K207" s="372"/>
      <c r="L207" s="385"/>
      <c r="M207" s="372"/>
      <c r="N207" s="26"/>
    </row>
    <row r="208" spans="1:14">
      <c r="A208" s="391"/>
      <c r="B208" s="398"/>
      <c r="C208" s="224"/>
      <c r="D208" s="224"/>
      <c r="E208" s="224"/>
      <c r="F208" s="224"/>
      <c r="G208" s="224"/>
      <c r="H208" s="398"/>
      <c r="I208" s="224"/>
      <c r="J208" s="224"/>
      <c r="K208" s="224"/>
      <c r="L208" s="224"/>
      <c r="M208" s="394"/>
      <c r="N208" s="26"/>
    </row>
    <row r="209" spans="1:14">
      <c r="A209" s="367"/>
      <c r="B209" s="26"/>
      <c r="C209" s="26"/>
      <c r="D209" s="26"/>
      <c r="E209" s="26"/>
      <c r="F209" s="26"/>
      <c r="G209" s="26"/>
      <c r="H209" s="26"/>
      <c r="I209" s="26"/>
      <c r="J209" s="26"/>
      <c r="K209" s="26"/>
      <c r="L209" s="26"/>
      <c r="M209" s="26"/>
      <c r="N209" s="26"/>
    </row>
    <row r="210" spans="1:14">
      <c r="A210" s="367"/>
      <c r="B210" s="26"/>
      <c r="C210" s="26"/>
      <c r="D210" s="26"/>
      <c r="E210" s="26"/>
      <c r="F210" s="26"/>
      <c r="G210" s="26"/>
      <c r="H210" s="26"/>
      <c r="I210" s="26"/>
      <c r="J210" s="26"/>
      <c r="K210" s="26"/>
      <c r="L210" s="26"/>
      <c r="M210" s="26"/>
      <c r="N210" s="26"/>
    </row>
  </sheetData>
  <sheetProtection algorithmName="SHA-512" hashValue="ZDSp4kn0ouMkhtmodC/3ADUVY2Z7+QpuCp/Oem3zWNyqfC4bwZ/SxrGxONlpW5YOMj71WPsdzmMw0mPLmCh60w==" saltValue="ieX5qCnUs59qoGvToyTyNg==" spinCount="100000" sheet="1" formatCells="0"/>
  <mergeCells count="581">
    <mergeCell ref="B161:F161"/>
    <mergeCell ref="B158:M158"/>
    <mergeCell ref="H153:I157"/>
    <mergeCell ref="J153:K153"/>
    <mergeCell ref="J155:K155"/>
    <mergeCell ref="R160:T160"/>
    <mergeCell ref="J157:K157"/>
    <mergeCell ref="D154:F154"/>
    <mergeCell ref="B156:C157"/>
    <mergeCell ref="Q156:S156"/>
    <mergeCell ref="G160:G161"/>
    <mergeCell ref="D156:F156"/>
    <mergeCell ref="B168:F168"/>
    <mergeCell ref="H168:I168"/>
    <mergeCell ref="T171:V171"/>
    <mergeCell ref="Q168:V168"/>
    <mergeCell ref="Q169:S169"/>
    <mergeCell ref="O168:P169"/>
    <mergeCell ref="J168:K168"/>
    <mergeCell ref="L168:M168"/>
    <mergeCell ref="H183:J183"/>
    <mergeCell ref="P173:P174"/>
    <mergeCell ref="O173:O174"/>
    <mergeCell ref="O170:P171"/>
    <mergeCell ref="Q170:S170"/>
    <mergeCell ref="H184:J184"/>
    <mergeCell ref="H185:J185"/>
    <mergeCell ref="H186:J186"/>
    <mergeCell ref="B179:B180"/>
    <mergeCell ref="B184:B186"/>
    <mergeCell ref="B181:B183"/>
    <mergeCell ref="H170:I170"/>
    <mergeCell ref="L174:M174"/>
    <mergeCell ref="L173:M173"/>
    <mergeCell ref="L172:M172"/>
    <mergeCell ref="B176:M176"/>
    <mergeCell ref="H171:I175"/>
    <mergeCell ref="B175:F175"/>
    <mergeCell ref="L175:M175"/>
    <mergeCell ref="L170:M170"/>
    <mergeCell ref="B171:F171"/>
    <mergeCell ref="B172:F172"/>
    <mergeCell ref="B174:F174"/>
    <mergeCell ref="L171:M171"/>
    <mergeCell ref="B173:F173"/>
    <mergeCell ref="J171:K175"/>
    <mergeCell ref="B170:F170"/>
    <mergeCell ref="J170:K170"/>
    <mergeCell ref="AF173:AF174"/>
    <mergeCell ref="Z171:AB171"/>
    <mergeCell ref="Z169:AB169"/>
    <mergeCell ref="AE173:AE174"/>
    <mergeCell ref="AD169:AF169"/>
    <mergeCell ref="AD162:AE162"/>
    <mergeCell ref="Z165:AA165"/>
    <mergeCell ref="AB165:AC165"/>
    <mergeCell ref="AD165:AE165"/>
    <mergeCell ref="W168:AB168"/>
    <mergeCell ref="AC168:AF168"/>
    <mergeCell ref="AD173:AD174"/>
    <mergeCell ref="X165:Y165"/>
    <mergeCell ref="U163:W163"/>
    <mergeCell ref="W169:Y169"/>
    <mergeCell ref="T169:V169"/>
    <mergeCell ref="W170:Y170"/>
    <mergeCell ref="AC170:AC176"/>
    <mergeCell ref="R164:T164"/>
    <mergeCell ref="H162:I165"/>
    <mergeCell ref="U165:W165"/>
    <mergeCell ref="U162:W162"/>
    <mergeCell ref="U164:W164"/>
    <mergeCell ref="R163:T163"/>
    <mergeCell ref="L160:M160"/>
    <mergeCell ref="L161:M161"/>
    <mergeCell ref="Z174:AB174"/>
    <mergeCell ref="J163:K163"/>
    <mergeCell ref="R161:T161"/>
    <mergeCell ref="H161:I161"/>
    <mergeCell ref="J161:K161"/>
    <mergeCell ref="AD160:AE160"/>
    <mergeCell ref="X164:Y164"/>
    <mergeCell ref="Z164:AA164"/>
    <mergeCell ref="AB164:AC164"/>
    <mergeCell ref="AD164:AE164"/>
    <mergeCell ref="AD163:AE163"/>
    <mergeCell ref="X163:Y163"/>
    <mergeCell ref="Z163:AA163"/>
    <mergeCell ref="AB163:AC163"/>
    <mergeCell ref="Z161:AA161"/>
    <mergeCell ref="AB161:AC161"/>
    <mergeCell ref="AD161:AE161"/>
    <mergeCell ref="X160:AC160"/>
    <mergeCell ref="X162:Y162"/>
    <mergeCell ref="Z162:AA162"/>
    <mergeCell ref="AB162:AC162"/>
    <mergeCell ref="X161:Y161"/>
    <mergeCell ref="A29:A34"/>
    <mergeCell ref="H34:I34"/>
    <mergeCell ref="J29:K29"/>
    <mergeCell ref="J30:K30"/>
    <mergeCell ref="J31:K31"/>
    <mergeCell ref="J32:K32"/>
    <mergeCell ref="J33:K33"/>
    <mergeCell ref="H31:I31"/>
    <mergeCell ref="B37:B38"/>
    <mergeCell ref="B29:B30"/>
    <mergeCell ref="B33:B34"/>
    <mergeCell ref="B36:C36"/>
    <mergeCell ref="O37:Q42"/>
    <mergeCell ref="O29:Q34"/>
    <mergeCell ref="O46:Q51"/>
    <mergeCell ref="H88:I88"/>
    <mergeCell ref="Q115:R115"/>
    <mergeCell ref="J91:K91"/>
    <mergeCell ref="H93:I93"/>
    <mergeCell ref="L99:M99"/>
    <mergeCell ref="L94:M94"/>
    <mergeCell ref="O61:Q65"/>
    <mergeCell ref="H55:I55"/>
    <mergeCell ref="L98:M98"/>
    <mergeCell ref="I115:I116"/>
    <mergeCell ref="H115:H116"/>
    <mergeCell ref="O115:P115"/>
    <mergeCell ref="H103:I103"/>
    <mergeCell ref="L107:M107"/>
    <mergeCell ref="J104:K104"/>
    <mergeCell ref="J93:K93"/>
    <mergeCell ref="J92:K92"/>
    <mergeCell ref="L37:M37"/>
    <mergeCell ref="L45:M45"/>
    <mergeCell ref="J36:K36"/>
    <mergeCell ref="J72:K72"/>
    <mergeCell ref="L124:M124"/>
    <mergeCell ref="L123:M123"/>
    <mergeCell ref="B113:F113"/>
    <mergeCell ref="H110:I110"/>
    <mergeCell ref="B109:F109"/>
    <mergeCell ref="D126:F126"/>
    <mergeCell ref="H131:I131"/>
    <mergeCell ref="H132:I132"/>
    <mergeCell ref="H133:I133"/>
    <mergeCell ref="B126:C126"/>
    <mergeCell ref="J129:K133"/>
    <mergeCell ref="L125:M125"/>
    <mergeCell ref="H125:I125"/>
    <mergeCell ref="H126:I126"/>
    <mergeCell ref="L119:M119"/>
    <mergeCell ref="J109:K109"/>
    <mergeCell ref="J119:K119"/>
    <mergeCell ref="L110:M110"/>
    <mergeCell ref="H120:I120"/>
    <mergeCell ref="D124:F124"/>
    <mergeCell ref="B120:C120"/>
    <mergeCell ref="D122:F122"/>
    <mergeCell ref="H124:I124"/>
    <mergeCell ref="L121:M121"/>
    <mergeCell ref="A37:A38"/>
    <mergeCell ref="O148:O149"/>
    <mergeCell ref="L148:M148"/>
    <mergeCell ref="L149:M149"/>
    <mergeCell ref="J152:K152"/>
    <mergeCell ref="J150:K150"/>
    <mergeCell ref="L95:M95"/>
    <mergeCell ref="J99:K99"/>
    <mergeCell ref="B98:F98"/>
    <mergeCell ref="H96:I101"/>
    <mergeCell ref="H95:I95"/>
    <mergeCell ref="L97:M97"/>
    <mergeCell ref="L101:M101"/>
    <mergeCell ref="J101:K101"/>
    <mergeCell ref="H104:I104"/>
    <mergeCell ref="L88:M88"/>
    <mergeCell ref="J128:K128"/>
    <mergeCell ref="A127:M127"/>
    <mergeCell ref="L128:M128"/>
    <mergeCell ref="D125:F125"/>
    <mergeCell ref="L129:M133"/>
    <mergeCell ref="B128:C128"/>
    <mergeCell ref="H128:I128"/>
    <mergeCell ref="B125:C125"/>
    <mergeCell ref="B84:C84"/>
    <mergeCell ref="B80:C80"/>
    <mergeCell ref="Z157:AA157"/>
    <mergeCell ref="T156:U156"/>
    <mergeCell ref="V156:W156"/>
    <mergeCell ref="X156:Y156"/>
    <mergeCell ref="T157:U157"/>
    <mergeCell ref="X157:Y157"/>
    <mergeCell ref="A46:A51"/>
    <mergeCell ref="Z156:AA156"/>
    <mergeCell ref="L137:M139"/>
    <mergeCell ref="J139:K139"/>
    <mergeCell ref="L141:M141"/>
    <mergeCell ref="J120:K126"/>
    <mergeCell ref="L126:M126"/>
    <mergeCell ref="H152:I152"/>
    <mergeCell ref="L152:M152"/>
    <mergeCell ref="L151:M151"/>
    <mergeCell ref="D153:F153"/>
    <mergeCell ref="B152:F152"/>
    <mergeCell ref="J156:K156"/>
    <mergeCell ref="B148:B151"/>
    <mergeCell ref="C149:F149"/>
    <mergeCell ref="C150:F150"/>
    <mergeCell ref="B69:C69"/>
    <mergeCell ref="B71:C71"/>
    <mergeCell ref="A2:E2"/>
    <mergeCell ref="L39:M39"/>
    <mergeCell ref="L150:M150"/>
    <mergeCell ref="C12:C13"/>
    <mergeCell ref="C10:C11"/>
    <mergeCell ref="D111:F111"/>
    <mergeCell ref="B99:F99"/>
    <mergeCell ref="B102:C102"/>
    <mergeCell ref="B93:F93"/>
    <mergeCell ref="B97:F97"/>
    <mergeCell ref="D123:F123"/>
    <mergeCell ref="B124:C124"/>
    <mergeCell ref="B122:C122"/>
    <mergeCell ref="D121:F121"/>
    <mergeCell ref="B107:F107"/>
    <mergeCell ref="B121:C121"/>
    <mergeCell ref="D120:F120"/>
    <mergeCell ref="B114:F114"/>
    <mergeCell ref="H129:I129"/>
    <mergeCell ref="H130:I130"/>
    <mergeCell ref="B112:F112"/>
    <mergeCell ref="H108:I108"/>
    <mergeCell ref="H148:I151"/>
    <mergeCell ref="C148:F148"/>
    <mergeCell ref="B82:C82"/>
    <mergeCell ref="B81:C81"/>
    <mergeCell ref="H89:I89"/>
    <mergeCell ref="B74:C74"/>
    <mergeCell ref="B77:C77"/>
    <mergeCell ref="B88:F88"/>
    <mergeCell ref="B86:F86"/>
    <mergeCell ref="H82:I82"/>
    <mergeCell ref="H81:I81"/>
    <mergeCell ref="H79:I79"/>
    <mergeCell ref="B89:F89"/>
    <mergeCell ref="H86:I86"/>
    <mergeCell ref="G86:G87"/>
    <mergeCell ref="H87:I87"/>
    <mergeCell ref="B87:F87"/>
    <mergeCell ref="B83:C83"/>
    <mergeCell ref="H69:I77"/>
    <mergeCell ref="B79:F79"/>
    <mergeCell ref="B75:C75"/>
    <mergeCell ref="B72:C72"/>
    <mergeCell ref="B73:C73"/>
    <mergeCell ref="B76:C76"/>
    <mergeCell ref="M142:M143"/>
    <mergeCell ref="B143:C143"/>
    <mergeCell ref="D142:F143"/>
    <mergeCell ref="J147:K147"/>
    <mergeCell ref="J137:K138"/>
    <mergeCell ref="J141:K141"/>
    <mergeCell ref="L140:M140"/>
    <mergeCell ref="J140:K140"/>
    <mergeCell ref="H138:I138"/>
    <mergeCell ref="B144:M144"/>
    <mergeCell ref="D137:F138"/>
    <mergeCell ref="H139:I139"/>
    <mergeCell ref="H140:I140"/>
    <mergeCell ref="H137:I137"/>
    <mergeCell ref="H143:I143"/>
    <mergeCell ref="C141:C142"/>
    <mergeCell ref="H141:I142"/>
    <mergeCell ref="D139:F139"/>
    <mergeCell ref="D140:F141"/>
    <mergeCell ref="G146:G147"/>
    <mergeCell ref="B147:F147"/>
    <mergeCell ref="H147:I147"/>
    <mergeCell ref="H146:I146"/>
    <mergeCell ref="G135:G136"/>
    <mergeCell ref="B135:F135"/>
    <mergeCell ref="J136:K136"/>
    <mergeCell ref="B136:C136"/>
    <mergeCell ref="L135:M135"/>
    <mergeCell ref="D136:F136"/>
    <mergeCell ref="H135:I135"/>
    <mergeCell ref="H136:I136"/>
    <mergeCell ref="J135:K135"/>
    <mergeCell ref="L136:M136"/>
    <mergeCell ref="L120:M120"/>
    <mergeCell ref="H121:I122"/>
    <mergeCell ref="H119:I119"/>
    <mergeCell ref="L122:M122"/>
    <mergeCell ref="H123:I123"/>
    <mergeCell ref="L93:M93"/>
    <mergeCell ref="B118:M118"/>
    <mergeCell ref="J103:K103"/>
    <mergeCell ref="J95:K95"/>
    <mergeCell ref="B123:C123"/>
    <mergeCell ref="J110:J111"/>
    <mergeCell ref="J100:K100"/>
    <mergeCell ref="L109:M109"/>
    <mergeCell ref="L105:M105"/>
    <mergeCell ref="H107:I107"/>
    <mergeCell ref="B100:F100"/>
    <mergeCell ref="B103:F103"/>
    <mergeCell ref="B105:F105"/>
    <mergeCell ref="B119:F119"/>
    <mergeCell ref="B92:F92"/>
    <mergeCell ref="B96:F96"/>
    <mergeCell ref="B95:F95"/>
    <mergeCell ref="B90:F90"/>
    <mergeCell ref="B91:F91"/>
    <mergeCell ref="B117:M117"/>
    <mergeCell ref="H109:I109"/>
    <mergeCell ref="H105:I105"/>
    <mergeCell ref="J94:K94"/>
    <mergeCell ref="J105:K105"/>
    <mergeCell ref="L108:M108"/>
    <mergeCell ref="L104:M104"/>
    <mergeCell ref="L103:M103"/>
    <mergeCell ref="F102:M102"/>
    <mergeCell ref="B108:F108"/>
    <mergeCell ref="J97:K97"/>
    <mergeCell ref="J96:K96"/>
    <mergeCell ref="L96:M96"/>
    <mergeCell ref="B106:F106"/>
    <mergeCell ref="B104:F104"/>
    <mergeCell ref="H91:I91"/>
    <mergeCell ref="H92:I92"/>
    <mergeCell ref="H106:I106"/>
    <mergeCell ref="B4:F4"/>
    <mergeCell ref="J6:K14"/>
    <mergeCell ref="H6:I6"/>
    <mergeCell ref="B7:B14"/>
    <mergeCell ref="H13:I13"/>
    <mergeCell ref="H8:I8"/>
    <mergeCell ref="H58:I58"/>
    <mergeCell ref="B64:C64"/>
    <mergeCell ref="J52:K52"/>
    <mergeCell ref="J34:K34"/>
    <mergeCell ref="J45:K45"/>
    <mergeCell ref="J46:K51"/>
    <mergeCell ref="B6:C6"/>
    <mergeCell ref="B31:B32"/>
    <mergeCell ref="H36:I36"/>
    <mergeCell ref="H14:I14"/>
    <mergeCell ref="H12:I12"/>
    <mergeCell ref="H10:I10"/>
    <mergeCell ref="H27:I27"/>
    <mergeCell ref="H28:I28"/>
    <mergeCell ref="J28:K28"/>
    <mergeCell ref="B49:B50"/>
    <mergeCell ref="H33:I33"/>
    <mergeCell ref="B47:B48"/>
    <mergeCell ref="H57:I57"/>
    <mergeCell ref="H56:I56"/>
    <mergeCell ref="L38:M38"/>
    <mergeCell ref="L46:M51"/>
    <mergeCell ref="B63:C63"/>
    <mergeCell ref="H54:I54"/>
    <mergeCell ref="B59:M59"/>
    <mergeCell ref="H62:I62"/>
    <mergeCell ref="H46:I51"/>
    <mergeCell ref="J53:K53"/>
    <mergeCell ref="L52:M52"/>
    <mergeCell ref="D53:F53"/>
    <mergeCell ref="L43:M43"/>
    <mergeCell ref="J43:K43"/>
    <mergeCell ref="L40:M40"/>
    <mergeCell ref="L41:M41"/>
    <mergeCell ref="L42:M42"/>
    <mergeCell ref="C37:C38"/>
    <mergeCell ref="J27:K27"/>
    <mergeCell ref="L5:M5"/>
    <mergeCell ref="J4:K4"/>
    <mergeCell ref="H83:I83"/>
    <mergeCell ref="B70:C70"/>
    <mergeCell ref="L75:M75"/>
    <mergeCell ref="L70:M70"/>
    <mergeCell ref="L73:M73"/>
    <mergeCell ref="B17:B18"/>
    <mergeCell ref="B19:B20"/>
    <mergeCell ref="H52:I52"/>
    <mergeCell ref="B28:C28"/>
    <mergeCell ref="H32:I32"/>
    <mergeCell ref="H37:I42"/>
    <mergeCell ref="H43:I43"/>
    <mergeCell ref="B65:C65"/>
    <mergeCell ref="J69:K69"/>
    <mergeCell ref="B66:C66"/>
    <mergeCell ref="B67:C67"/>
    <mergeCell ref="B68:C68"/>
    <mergeCell ref="B53:C53"/>
    <mergeCell ref="L53:M53"/>
    <mergeCell ref="D45:F45"/>
    <mergeCell ref="H53:I53"/>
    <mergeCell ref="H7:I7"/>
    <mergeCell ref="L12:M12"/>
    <mergeCell ref="C19:M20"/>
    <mergeCell ref="C21:M22"/>
    <mergeCell ref="L13:M13"/>
    <mergeCell ref="L7:M7"/>
    <mergeCell ref="L8:M8"/>
    <mergeCell ref="L9:M9"/>
    <mergeCell ref="L14:M14"/>
    <mergeCell ref="L28:M28"/>
    <mergeCell ref="B35:M35"/>
    <mergeCell ref="B44:M44"/>
    <mergeCell ref="L36:M36"/>
    <mergeCell ref="H45:I45"/>
    <mergeCell ref="H29:I29"/>
    <mergeCell ref="H9:I9"/>
    <mergeCell ref="H30:I30"/>
    <mergeCell ref="G4:G5"/>
    <mergeCell ref="J37:K42"/>
    <mergeCell ref="B5:F5"/>
    <mergeCell ref="H5:I5"/>
    <mergeCell ref="B27:F27"/>
    <mergeCell ref="J5:K5"/>
    <mergeCell ref="G27:G28"/>
    <mergeCell ref="H4:I4"/>
    <mergeCell ref="B21:B22"/>
    <mergeCell ref="C23:M24"/>
    <mergeCell ref="L4:M4"/>
    <mergeCell ref="L27:M27"/>
    <mergeCell ref="L10:M10"/>
    <mergeCell ref="L6:M6"/>
    <mergeCell ref="L11:M11"/>
    <mergeCell ref="H11:I11"/>
    <mergeCell ref="O54:Q58"/>
    <mergeCell ref="L68:M68"/>
    <mergeCell ref="O67:W67"/>
    <mergeCell ref="R68:V68"/>
    <mergeCell ref="L79:M79"/>
    <mergeCell ref="L76:M76"/>
    <mergeCell ref="J77:K77"/>
    <mergeCell ref="J76:K76"/>
    <mergeCell ref="J70:K70"/>
    <mergeCell ref="J74:K74"/>
    <mergeCell ref="O68:Q68"/>
    <mergeCell ref="Q77:V77"/>
    <mergeCell ref="Q78:S78"/>
    <mergeCell ref="T78:V78"/>
    <mergeCell ref="L74:M74"/>
    <mergeCell ref="L77:M77"/>
    <mergeCell ref="J73:K73"/>
    <mergeCell ref="L72:M72"/>
    <mergeCell ref="W79:Y79"/>
    <mergeCell ref="J68:K68"/>
    <mergeCell ref="H84:I84"/>
    <mergeCell ref="H61:I61"/>
    <mergeCell ref="J98:K98"/>
    <mergeCell ref="T80:V80"/>
    <mergeCell ref="L80:M80"/>
    <mergeCell ref="H80:I80"/>
    <mergeCell ref="J88:K88"/>
    <mergeCell ref="L87:M87"/>
    <mergeCell ref="H90:I90"/>
    <mergeCell ref="L90:M90"/>
    <mergeCell ref="J80:K84"/>
    <mergeCell ref="J87:K87"/>
    <mergeCell ref="L91:M91"/>
    <mergeCell ref="H68:I68"/>
    <mergeCell ref="H63:I67"/>
    <mergeCell ref="O6:Q14"/>
    <mergeCell ref="O113:P113"/>
    <mergeCell ref="O116:P116"/>
    <mergeCell ref="Q113:R113"/>
    <mergeCell ref="Q112:R112"/>
    <mergeCell ref="Q110:R111"/>
    <mergeCell ref="O108:R109"/>
    <mergeCell ref="J106:K106"/>
    <mergeCell ref="J108:K108"/>
    <mergeCell ref="J107:K107"/>
    <mergeCell ref="L54:M58"/>
    <mergeCell ref="J75:K75"/>
    <mergeCell ref="J71:K71"/>
    <mergeCell ref="L69:M69"/>
    <mergeCell ref="L106:M106"/>
    <mergeCell ref="K110:K111"/>
    <mergeCell ref="J89:K89"/>
    <mergeCell ref="L100:M100"/>
    <mergeCell ref="L29:M34"/>
    <mergeCell ref="J63:K67"/>
    <mergeCell ref="J62:K62"/>
    <mergeCell ref="J61:K61"/>
    <mergeCell ref="L61:M61"/>
    <mergeCell ref="L71:M71"/>
    <mergeCell ref="AB156:AC156"/>
    <mergeCell ref="AB157:AC157"/>
    <mergeCell ref="AC77:AF77"/>
    <mergeCell ref="AD78:AF78"/>
    <mergeCell ref="W77:AB77"/>
    <mergeCell ref="Z78:AB78"/>
    <mergeCell ref="AE82:AE83"/>
    <mergeCell ref="Z80:AB80"/>
    <mergeCell ref="W78:Y78"/>
    <mergeCell ref="AD156:AF156"/>
    <mergeCell ref="V157:W157"/>
    <mergeCell ref="AD157:AF157"/>
    <mergeCell ref="U115:X115"/>
    <mergeCell ref="AF82:AF83"/>
    <mergeCell ref="O141:U141"/>
    <mergeCell ref="O137:U139"/>
    <mergeCell ref="AD82:AD83"/>
    <mergeCell ref="Z83:AB83"/>
    <mergeCell ref="O82:O83"/>
    <mergeCell ref="P82:P83"/>
    <mergeCell ref="O110:P111"/>
    <mergeCell ref="O140:U140"/>
    <mergeCell ref="O114:P114"/>
    <mergeCell ref="O136:U136"/>
    <mergeCell ref="U113:X113"/>
    <mergeCell ref="U112:X112"/>
    <mergeCell ref="U114:X114"/>
    <mergeCell ref="R162:T162"/>
    <mergeCell ref="R165:T165"/>
    <mergeCell ref="Q116:R116"/>
    <mergeCell ref="Q114:R114"/>
    <mergeCell ref="O112:P112"/>
    <mergeCell ref="P142:Q143"/>
    <mergeCell ref="Q148:R150"/>
    <mergeCell ref="Q151:R151"/>
    <mergeCell ref="Q152:R152"/>
    <mergeCell ref="S148:T150"/>
    <mergeCell ref="S151:T151"/>
    <mergeCell ref="S152:T152"/>
    <mergeCell ref="U151:V151"/>
    <mergeCell ref="U152:V152"/>
    <mergeCell ref="U148:V150"/>
    <mergeCell ref="U160:W160"/>
    <mergeCell ref="O160:Q161"/>
    <mergeCell ref="Q145:V146"/>
    <mergeCell ref="Q147:V147"/>
    <mergeCell ref="U161:W161"/>
    <mergeCell ref="Q157:S157"/>
    <mergeCell ref="Z148:AB148"/>
    <mergeCell ref="D196:F197"/>
    <mergeCell ref="L196:M196"/>
    <mergeCell ref="L197:M197"/>
    <mergeCell ref="J143:K143"/>
    <mergeCell ref="J160:K160"/>
    <mergeCell ref="L146:M146"/>
    <mergeCell ref="J154:K154"/>
    <mergeCell ref="J142:K142"/>
    <mergeCell ref="L147:M147"/>
    <mergeCell ref="J146:K146"/>
    <mergeCell ref="B160:F160"/>
    <mergeCell ref="H160:I160"/>
    <mergeCell ref="C155:F155"/>
    <mergeCell ref="C151:F151"/>
    <mergeCell ref="J162:K162"/>
    <mergeCell ref="J165:K165"/>
    <mergeCell ref="J164:K164"/>
    <mergeCell ref="D157:F157"/>
    <mergeCell ref="B153:B155"/>
    <mergeCell ref="B146:F146"/>
    <mergeCell ref="J148:K149"/>
    <mergeCell ref="J151:K151"/>
    <mergeCell ref="O146:O147"/>
    <mergeCell ref="AC79:AC85"/>
    <mergeCell ref="O77:P78"/>
    <mergeCell ref="Z51:AA51"/>
    <mergeCell ref="C16:M16"/>
    <mergeCell ref="C25:M25"/>
    <mergeCell ref="C17:M18"/>
    <mergeCell ref="B116:F116"/>
    <mergeCell ref="B110:C111"/>
    <mergeCell ref="H94:I94"/>
    <mergeCell ref="L92:M92"/>
    <mergeCell ref="B23:B24"/>
    <mergeCell ref="J79:K79"/>
    <mergeCell ref="L82:M82"/>
    <mergeCell ref="L84:M84"/>
    <mergeCell ref="J54:K58"/>
    <mergeCell ref="L83:M83"/>
    <mergeCell ref="L86:M86"/>
    <mergeCell ref="J86:K86"/>
    <mergeCell ref="J90:K90"/>
    <mergeCell ref="L81:M81"/>
    <mergeCell ref="L89:M89"/>
    <mergeCell ref="O16:Q25"/>
    <mergeCell ref="O79:P80"/>
    <mergeCell ref="Q79:S79"/>
  </mergeCells>
  <phoneticPr fontId="10" type="noConversion"/>
  <pageMargins left="0.39370078740157483" right="0.22" top="0.78740157480314965" bottom="0.59055118110236227" header="0.35433070866141736" footer="0.1574803149606299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13F5-580F-4FBC-82B8-4925E937736D}">
  <dimension ref="B2:L43"/>
  <sheetViews>
    <sheetView showGridLines="0" topLeftCell="A3" workbookViewId="0">
      <selection activeCell="P13" sqref="P13"/>
    </sheetView>
  </sheetViews>
  <sheetFormatPr baseColWidth="10" defaultRowHeight="12.75"/>
  <cols>
    <col min="1" max="1" width="2.85546875" customWidth="1"/>
    <col min="2" max="2" width="4" customWidth="1"/>
    <col min="3" max="3" width="8.5703125" customWidth="1"/>
    <col min="4" max="4" width="7.42578125" customWidth="1"/>
    <col min="5" max="5" width="13" customWidth="1"/>
    <col min="6" max="6" width="11.85546875" customWidth="1"/>
    <col min="7" max="7" width="2.28515625" customWidth="1"/>
    <col min="8" max="8" width="4.28515625" customWidth="1"/>
    <col min="9" max="9" width="10.140625" customWidth="1"/>
    <col min="10" max="10" width="6.5703125" customWidth="1"/>
    <col min="11" max="11" width="14.140625" customWidth="1"/>
    <col min="12" max="12" width="11.85546875" customWidth="1"/>
  </cols>
  <sheetData>
    <row r="2" spans="2:12">
      <c r="B2" s="3011" t="s">
        <v>1034</v>
      </c>
      <c r="C2" s="3011"/>
      <c r="D2" s="3011"/>
      <c r="E2" s="3011"/>
      <c r="F2" s="3011"/>
      <c r="G2" s="3011"/>
      <c r="H2" s="3011"/>
      <c r="I2" s="3011"/>
      <c r="J2" s="3011"/>
      <c r="K2" s="3011"/>
      <c r="L2" s="3011"/>
    </row>
    <row r="3" spans="2:12" ht="17.25" customHeight="1" thickBot="1">
      <c r="B3" s="3012"/>
      <c r="C3" s="3012"/>
      <c r="D3" s="3012"/>
      <c r="E3" s="3012"/>
      <c r="F3" s="3012"/>
      <c r="G3" s="3012"/>
      <c r="H3" s="3012"/>
      <c r="I3" s="3012"/>
      <c r="J3" s="3012"/>
      <c r="K3" s="3012"/>
      <c r="L3" s="3012"/>
    </row>
    <row r="4" spans="2:12">
      <c r="B4" s="3013" t="s">
        <v>840</v>
      </c>
      <c r="C4" s="3014"/>
      <c r="D4" s="3015"/>
      <c r="E4" s="3008" t="s">
        <v>1050</v>
      </c>
      <c r="F4" s="3022" t="s">
        <v>841</v>
      </c>
      <c r="G4" s="1596"/>
      <c r="H4" s="3024" t="s">
        <v>840</v>
      </c>
      <c r="I4" s="3014"/>
      <c r="J4" s="3015"/>
      <c r="K4" s="3008" t="s">
        <v>1053</v>
      </c>
      <c r="L4" s="3027" t="s">
        <v>841</v>
      </c>
    </row>
    <row r="5" spans="2:12">
      <c r="B5" s="3016"/>
      <c r="C5" s="3017"/>
      <c r="D5" s="3018"/>
      <c r="E5" s="3009"/>
      <c r="F5" s="3023"/>
      <c r="G5" s="1597"/>
      <c r="H5" s="3025"/>
      <c r="I5" s="3017"/>
      <c r="J5" s="3018"/>
      <c r="K5" s="3009"/>
      <c r="L5" s="3028"/>
    </row>
    <row r="6" spans="2:12" ht="14.25">
      <c r="B6" s="3016"/>
      <c r="C6" s="3017"/>
      <c r="D6" s="3018"/>
      <c r="E6" s="3010"/>
      <c r="F6" s="1598" t="s">
        <v>1051</v>
      </c>
      <c r="G6" s="1597"/>
      <c r="H6" s="3025"/>
      <c r="I6" s="3017"/>
      <c r="J6" s="3018"/>
      <c r="K6" s="3010"/>
      <c r="L6" s="1599" t="s">
        <v>1054</v>
      </c>
    </row>
    <row r="7" spans="2:12">
      <c r="B7" s="3019"/>
      <c r="C7" s="3020"/>
      <c r="D7" s="3021"/>
      <c r="E7" s="1600" t="s">
        <v>842</v>
      </c>
      <c r="F7" s="1600" t="s">
        <v>843</v>
      </c>
      <c r="G7" s="1601"/>
      <c r="H7" s="3026"/>
      <c r="I7" s="3020"/>
      <c r="J7" s="3021"/>
      <c r="K7" s="1600" t="s">
        <v>842</v>
      </c>
      <c r="L7" s="1602" t="s">
        <v>843</v>
      </c>
    </row>
    <row r="8" spans="2:12">
      <c r="B8" s="3039" t="s">
        <v>984</v>
      </c>
      <c r="C8" s="1603" t="s">
        <v>844</v>
      </c>
      <c r="D8" s="1604"/>
      <c r="E8" s="1605" t="s">
        <v>845</v>
      </c>
      <c r="F8" s="1606"/>
      <c r="G8" s="1607"/>
      <c r="H8" s="3032" t="s">
        <v>982</v>
      </c>
      <c r="I8" s="1608" t="s">
        <v>846</v>
      </c>
      <c r="J8" s="1609"/>
      <c r="K8" s="1610" t="s">
        <v>847</v>
      </c>
      <c r="L8" s="1611">
        <v>31.2</v>
      </c>
    </row>
    <row r="9" spans="2:12">
      <c r="B9" s="3040"/>
      <c r="C9" s="1612" t="s">
        <v>848</v>
      </c>
      <c r="D9" s="1613"/>
      <c r="E9" s="1614" t="s">
        <v>849</v>
      </c>
      <c r="F9" s="1614">
        <v>3.4</v>
      </c>
      <c r="G9" s="1615"/>
      <c r="H9" s="3033"/>
      <c r="I9" s="1608" t="s">
        <v>850</v>
      </c>
      <c r="J9" s="1616"/>
      <c r="K9" s="1610" t="s">
        <v>851</v>
      </c>
      <c r="L9" s="1611" t="s">
        <v>852</v>
      </c>
    </row>
    <row r="10" spans="2:12">
      <c r="B10" s="3040"/>
      <c r="C10" s="1612" t="s">
        <v>853</v>
      </c>
      <c r="D10" s="1613"/>
      <c r="E10" s="1614" t="s">
        <v>854</v>
      </c>
      <c r="F10" s="1614" t="s">
        <v>855</v>
      </c>
      <c r="G10" s="1615"/>
      <c r="H10" s="3033"/>
      <c r="I10" s="1608" t="s">
        <v>856</v>
      </c>
      <c r="J10" s="1616"/>
      <c r="K10" s="1610" t="s">
        <v>851</v>
      </c>
      <c r="L10" s="1611" t="s">
        <v>857</v>
      </c>
    </row>
    <row r="11" spans="2:12">
      <c r="B11" s="3040"/>
      <c r="C11" s="1612" t="s">
        <v>858</v>
      </c>
      <c r="D11" s="1613"/>
      <c r="E11" s="1614" t="s">
        <v>859</v>
      </c>
      <c r="F11" s="1614" t="s">
        <v>860</v>
      </c>
      <c r="G11" s="1615"/>
      <c r="H11" s="3033"/>
      <c r="I11" s="1608" t="s">
        <v>861</v>
      </c>
      <c r="J11" s="1616"/>
      <c r="K11" s="1610" t="s">
        <v>862</v>
      </c>
      <c r="L11" s="1611"/>
    </row>
    <row r="12" spans="2:12">
      <c r="B12" s="3040"/>
      <c r="C12" s="1612" t="s">
        <v>863</v>
      </c>
      <c r="D12" s="1613"/>
      <c r="E12" s="1614" t="s">
        <v>864</v>
      </c>
      <c r="F12" s="1614" t="s">
        <v>865</v>
      </c>
      <c r="G12" s="1615"/>
      <c r="H12" s="3033"/>
      <c r="I12" s="1608" t="s">
        <v>866</v>
      </c>
      <c r="J12" s="1616"/>
      <c r="K12" s="1610" t="s">
        <v>867</v>
      </c>
      <c r="L12" s="1611"/>
    </row>
    <row r="13" spans="2:12">
      <c r="B13" s="3040"/>
      <c r="C13" s="1612" t="s">
        <v>868</v>
      </c>
      <c r="D13" s="1613"/>
      <c r="E13" s="1614" t="s">
        <v>869</v>
      </c>
      <c r="F13" s="1614" t="s">
        <v>870</v>
      </c>
      <c r="G13" s="1615"/>
      <c r="H13" s="3033"/>
      <c r="I13" s="1608" t="s">
        <v>871</v>
      </c>
      <c r="J13" s="1616"/>
      <c r="K13" s="1610" t="s">
        <v>872</v>
      </c>
      <c r="L13" s="1611" t="s">
        <v>857</v>
      </c>
    </row>
    <row r="14" spans="2:12">
      <c r="B14" s="3040"/>
      <c r="C14" s="1612" t="s">
        <v>873</v>
      </c>
      <c r="D14" s="1613"/>
      <c r="E14" s="1614" t="s">
        <v>874</v>
      </c>
      <c r="F14" s="1614"/>
      <c r="G14" s="1615"/>
      <c r="H14" s="3033"/>
      <c r="I14" s="1608" t="s">
        <v>875</v>
      </c>
      <c r="J14" s="1616"/>
      <c r="K14" s="1610" t="s">
        <v>876</v>
      </c>
      <c r="L14" s="1611"/>
    </row>
    <row r="15" spans="2:12">
      <c r="B15" s="3040"/>
      <c r="C15" s="1612" t="s">
        <v>877</v>
      </c>
      <c r="D15" s="1613"/>
      <c r="E15" s="1614" t="s">
        <v>878</v>
      </c>
      <c r="F15" s="1614"/>
      <c r="G15" s="1615"/>
      <c r="H15" s="3033"/>
      <c r="I15" s="1608" t="s">
        <v>879</v>
      </c>
      <c r="J15" s="1616"/>
      <c r="K15" s="1610" t="s">
        <v>880</v>
      </c>
      <c r="L15" s="1611" t="s">
        <v>881</v>
      </c>
    </row>
    <row r="16" spans="2:12">
      <c r="B16" s="3040"/>
      <c r="C16" s="1612" t="s">
        <v>882</v>
      </c>
      <c r="D16" s="1613"/>
      <c r="E16" s="1614" t="s">
        <v>883</v>
      </c>
      <c r="F16" s="1614" t="s">
        <v>884</v>
      </c>
      <c r="G16" s="1615"/>
      <c r="H16" s="3033"/>
      <c r="I16" s="1608" t="s">
        <v>885</v>
      </c>
      <c r="J16" s="1616"/>
      <c r="K16" s="1610" t="s">
        <v>886</v>
      </c>
      <c r="L16" s="1611" t="s">
        <v>857</v>
      </c>
    </row>
    <row r="17" spans="2:12">
      <c r="B17" s="3040"/>
      <c r="C17" s="1612" t="s">
        <v>887</v>
      </c>
      <c r="D17" s="1613"/>
      <c r="E17" s="1614" t="s">
        <v>888</v>
      </c>
      <c r="F17" s="1614" t="s">
        <v>889</v>
      </c>
      <c r="G17" s="1615"/>
      <c r="H17" s="3033"/>
      <c r="I17" s="1608" t="s">
        <v>890</v>
      </c>
      <c r="J17" s="1616"/>
      <c r="K17" s="1610" t="s">
        <v>891</v>
      </c>
      <c r="L17" s="1611"/>
    </row>
    <row r="18" spans="2:12">
      <c r="B18" s="3041"/>
      <c r="C18" s="1617" t="s">
        <v>892</v>
      </c>
      <c r="D18" s="1618"/>
      <c r="E18" s="1619" t="s">
        <v>893</v>
      </c>
      <c r="F18" s="1619"/>
      <c r="G18" s="1615"/>
      <c r="H18" s="3033"/>
      <c r="I18" s="1608" t="s">
        <v>894</v>
      </c>
      <c r="J18" s="1616"/>
      <c r="K18" s="1610" t="s">
        <v>895</v>
      </c>
      <c r="L18" s="1611" t="s">
        <v>855</v>
      </c>
    </row>
    <row r="19" spans="2:12">
      <c r="B19" s="3036" t="s">
        <v>983</v>
      </c>
      <c r="C19" s="1612" t="s">
        <v>896</v>
      </c>
      <c r="D19" s="1613"/>
      <c r="E19" s="1614" t="s">
        <v>897</v>
      </c>
      <c r="F19" s="1614" t="s">
        <v>898</v>
      </c>
      <c r="G19" s="1615"/>
      <c r="H19" s="3033"/>
      <c r="I19" s="1608" t="s">
        <v>899</v>
      </c>
      <c r="J19" s="1616"/>
      <c r="K19" s="1610" t="s">
        <v>900</v>
      </c>
      <c r="L19" s="1611"/>
    </row>
    <row r="20" spans="2:12">
      <c r="B20" s="3037"/>
      <c r="C20" s="1612" t="s">
        <v>901</v>
      </c>
      <c r="D20" s="1613"/>
      <c r="E20" s="1614" t="s">
        <v>902</v>
      </c>
      <c r="F20" s="1614"/>
      <c r="G20" s="1615"/>
      <c r="H20" s="3033"/>
      <c r="I20" s="1608" t="s">
        <v>903</v>
      </c>
      <c r="J20" s="1616"/>
      <c r="K20" s="1610" t="s">
        <v>904</v>
      </c>
      <c r="L20" s="1611" t="s">
        <v>905</v>
      </c>
    </row>
    <row r="21" spans="2:12">
      <c r="B21" s="3037"/>
      <c r="C21" s="1612" t="s">
        <v>906</v>
      </c>
      <c r="D21" s="1613"/>
      <c r="E21" s="1614" t="s">
        <v>907</v>
      </c>
      <c r="F21" s="1614" t="s">
        <v>908</v>
      </c>
      <c r="G21" s="1615"/>
      <c r="H21" s="3033"/>
      <c r="I21" s="1608" t="s">
        <v>909</v>
      </c>
      <c r="J21" s="1616"/>
      <c r="K21" s="1610" t="s">
        <v>910</v>
      </c>
      <c r="L21" s="1611" t="s">
        <v>857</v>
      </c>
    </row>
    <row r="22" spans="2:12">
      <c r="B22" s="3037"/>
      <c r="C22" s="1612" t="s">
        <v>911</v>
      </c>
      <c r="D22" s="1613"/>
      <c r="E22" s="1614" t="s">
        <v>912</v>
      </c>
      <c r="F22" s="1614" t="s">
        <v>913</v>
      </c>
      <c r="G22" s="1615"/>
      <c r="H22" s="3033"/>
      <c r="I22" s="1608" t="s">
        <v>914</v>
      </c>
      <c r="J22" s="1616"/>
      <c r="K22" s="1610" t="s">
        <v>915</v>
      </c>
      <c r="L22" s="1611" t="s">
        <v>916</v>
      </c>
    </row>
    <row r="23" spans="2:12">
      <c r="B23" s="3037"/>
      <c r="C23" s="1612" t="s">
        <v>917</v>
      </c>
      <c r="D23" s="1613"/>
      <c r="E23" s="1614" t="s">
        <v>918</v>
      </c>
      <c r="F23" s="1614" t="s">
        <v>919</v>
      </c>
      <c r="G23" s="1615"/>
      <c r="H23" s="3033"/>
      <c r="I23" s="1608" t="s">
        <v>920</v>
      </c>
      <c r="J23" s="1616"/>
      <c r="K23" s="1610" t="s">
        <v>921</v>
      </c>
      <c r="L23" s="1611" t="s">
        <v>922</v>
      </c>
    </row>
    <row r="24" spans="2:12">
      <c r="B24" s="3037"/>
      <c r="C24" s="1612" t="s">
        <v>923</v>
      </c>
      <c r="D24" s="1613"/>
      <c r="E24" s="1614" t="s">
        <v>924</v>
      </c>
      <c r="F24" s="1614" t="s">
        <v>925</v>
      </c>
      <c r="G24" s="1615"/>
      <c r="H24" s="3033"/>
      <c r="I24" s="1608" t="s">
        <v>926</v>
      </c>
      <c r="J24" s="1616"/>
      <c r="K24" s="1610" t="s">
        <v>927</v>
      </c>
      <c r="L24" s="1611"/>
    </row>
    <row r="25" spans="2:12">
      <c r="B25" s="3037"/>
      <c r="C25" s="1612" t="s">
        <v>928</v>
      </c>
      <c r="D25" s="1613"/>
      <c r="E25" s="1614" t="s">
        <v>851</v>
      </c>
      <c r="F25" s="1614" t="s">
        <v>929</v>
      </c>
      <c r="G25" s="1615"/>
      <c r="H25" s="3033"/>
      <c r="I25" s="1608" t="s">
        <v>930</v>
      </c>
      <c r="J25" s="1616"/>
      <c r="K25" s="1610" t="s">
        <v>931</v>
      </c>
      <c r="L25" s="1611" t="s">
        <v>932</v>
      </c>
    </row>
    <row r="26" spans="2:12">
      <c r="B26" s="3037"/>
      <c r="C26" s="1612" t="s">
        <v>933</v>
      </c>
      <c r="D26" s="1613"/>
      <c r="E26" s="1614" t="s">
        <v>934</v>
      </c>
      <c r="F26" s="1614" t="s">
        <v>855</v>
      </c>
      <c r="G26" s="1615"/>
      <c r="H26" s="3033"/>
      <c r="I26" s="1608" t="s">
        <v>935</v>
      </c>
      <c r="J26" s="1616"/>
      <c r="K26" s="1610" t="s">
        <v>936</v>
      </c>
      <c r="L26" s="1611"/>
    </row>
    <row r="27" spans="2:12">
      <c r="B27" s="3037"/>
      <c r="C27" s="1612" t="s">
        <v>937</v>
      </c>
      <c r="D27" s="1613"/>
      <c r="E27" s="1614" t="s">
        <v>938</v>
      </c>
      <c r="F27" s="1614" t="s">
        <v>857</v>
      </c>
      <c r="G27" s="1615"/>
      <c r="H27" s="3033"/>
      <c r="I27" s="1608" t="s">
        <v>939</v>
      </c>
      <c r="J27" s="1616"/>
      <c r="K27" s="1610" t="s">
        <v>940</v>
      </c>
      <c r="L27" s="1611" t="s">
        <v>941</v>
      </c>
    </row>
    <row r="28" spans="2:12">
      <c r="B28" s="3037"/>
      <c r="C28" s="1612" t="s">
        <v>942</v>
      </c>
      <c r="D28" s="1613"/>
      <c r="E28" s="1614" t="s">
        <v>943</v>
      </c>
      <c r="F28" s="1614"/>
      <c r="G28" s="1615"/>
      <c r="H28" s="3033"/>
      <c r="I28" s="1608" t="s">
        <v>944</v>
      </c>
      <c r="J28" s="1616"/>
      <c r="K28" s="1610" t="s">
        <v>945</v>
      </c>
      <c r="L28" s="1611"/>
    </row>
    <row r="29" spans="2:12">
      <c r="B29" s="3037"/>
      <c r="C29" s="1612" t="s">
        <v>946</v>
      </c>
      <c r="D29" s="1613"/>
      <c r="E29" s="1614" t="s">
        <v>947</v>
      </c>
      <c r="F29" s="1614" t="s">
        <v>948</v>
      </c>
      <c r="G29" s="1615"/>
      <c r="H29" s="3033"/>
      <c r="I29" s="1608" t="s">
        <v>949</v>
      </c>
      <c r="J29" s="1616"/>
      <c r="K29" s="1610" t="s">
        <v>950</v>
      </c>
      <c r="L29" s="1611"/>
    </row>
    <row r="30" spans="2:12">
      <c r="B30" s="3037"/>
      <c r="C30" s="1612" t="s">
        <v>951</v>
      </c>
      <c r="D30" s="1613"/>
      <c r="E30" s="1614" t="s">
        <v>952</v>
      </c>
      <c r="F30" s="1614"/>
      <c r="G30" s="1615"/>
      <c r="H30" s="3033"/>
      <c r="I30" s="1608" t="s">
        <v>953</v>
      </c>
      <c r="J30" s="1616"/>
      <c r="K30" s="1610" t="s">
        <v>954</v>
      </c>
      <c r="L30" s="1611" t="s">
        <v>955</v>
      </c>
    </row>
    <row r="31" spans="2:12">
      <c r="B31" s="3037"/>
      <c r="C31" s="1612" t="s">
        <v>956</v>
      </c>
      <c r="D31" s="1613"/>
      <c r="E31" s="1614" t="s">
        <v>957</v>
      </c>
      <c r="F31" s="1614" t="s">
        <v>855</v>
      </c>
      <c r="G31" s="1615"/>
      <c r="H31" s="3033"/>
      <c r="I31" s="1608" t="s">
        <v>958</v>
      </c>
      <c r="J31" s="1616"/>
      <c r="K31" s="1610" t="s">
        <v>959</v>
      </c>
      <c r="L31" s="1611" t="s">
        <v>960</v>
      </c>
    </row>
    <row r="32" spans="2:12">
      <c r="B32" s="3037"/>
      <c r="C32" s="1612" t="s">
        <v>961</v>
      </c>
      <c r="D32" s="1613"/>
      <c r="E32" s="1614" t="s">
        <v>962</v>
      </c>
      <c r="F32" s="1614" t="s">
        <v>857</v>
      </c>
      <c r="G32" s="1615"/>
      <c r="H32" s="3033"/>
      <c r="I32" s="1620"/>
      <c r="J32" s="2"/>
      <c r="K32" s="1621"/>
      <c r="L32" s="1622"/>
    </row>
    <row r="33" spans="2:12">
      <c r="B33" s="3038"/>
      <c r="C33" s="1617" t="s">
        <v>963</v>
      </c>
      <c r="D33" s="1618"/>
      <c r="E33" s="1619" t="s">
        <v>964</v>
      </c>
      <c r="F33" s="1619"/>
      <c r="G33" s="1623"/>
      <c r="H33" s="3035"/>
      <c r="I33" s="1624"/>
      <c r="J33" s="1625"/>
      <c r="K33" s="1626"/>
      <c r="L33" s="1627"/>
    </row>
    <row r="34" spans="2:12">
      <c r="B34" s="3029" t="s">
        <v>981</v>
      </c>
      <c r="C34" s="1612" t="s">
        <v>965</v>
      </c>
      <c r="D34" s="1613"/>
      <c r="E34" s="1610">
        <v>2.5000000000000001E-2</v>
      </c>
      <c r="F34" s="1613"/>
      <c r="G34" s="1597"/>
      <c r="H34" s="3032" t="s">
        <v>981</v>
      </c>
      <c r="I34" s="1628" t="s">
        <v>966</v>
      </c>
      <c r="J34" s="1629"/>
      <c r="K34" s="1630" t="s">
        <v>967</v>
      </c>
      <c r="L34" s="1631"/>
    </row>
    <row r="35" spans="2:12">
      <c r="B35" s="3030"/>
      <c r="C35" s="1612" t="s">
        <v>968</v>
      </c>
      <c r="D35" s="1613"/>
      <c r="E35" s="1610" t="s">
        <v>969</v>
      </c>
      <c r="F35" s="1613"/>
      <c r="G35" s="1597"/>
      <c r="H35" s="3033"/>
      <c r="I35" s="1628" t="s">
        <v>970</v>
      </c>
      <c r="J35" s="1629"/>
      <c r="K35" s="1630" t="s">
        <v>971</v>
      </c>
      <c r="L35" s="1631"/>
    </row>
    <row r="36" spans="2:12">
      <c r="B36" s="3030"/>
      <c r="C36" s="1612" t="s">
        <v>972</v>
      </c>
      <c r="D36" s="1613"/>
      <c r="E36" s="1610" t="s">
        <v>973</v>
      </c>
      <c r="F36" s="1613"/>
      <c r="G36" s="1597"/>
      <c r="H36" s="3033"/>
      <c r="I36" s="1628" t="s">
        <v>974</v>
      </c>
      <c r="J36" s="1629"/>
      <c r="K36" s="1630" t="s">
        <v>975</v>
      </c>
      <c r="L36" s="1631"/>
    </row>
    <row r="37" spans="2:12" ht="13.5" thickBot="1">
      <c r="B37" s="3031"/>
      <c r="C37" s="1632"/>
      <c r="D37" s="1633"/>
      <c r="E37" s="1634"/>
      <c r="F37" s="1635"/>
      <c r="G37" s="1635"/>
      <c r="H37" s="3034"/>
      <c r="I37" s="1633" t="s">
        <v>976</v>
      </c>
      <c r="J37" s="1641" t="s">
        <v>977</v>
      </c>
      <c r="K37" s="1636" t="s">
        <v>978</v>
      </c>
      <c r="L37" s="1637"/>
    </row>
    <row r="38" spans="2:12">
      <c r="B38" s="1638"/>
      <c r="C38" s="1639" t="s">
        <v>979</v>
      </c>
      <c r="D38" s="2"/>
      <c r="E38" s="2"/>
      <c r="F38" s="2"/>
      <c r="G38" s="1640"/>
      <c r="H38" s="1640"/>
      <c r="I38" s="1639" t="s">
        <v>980</v>
      </c>
      <c r="J38" s="2"/>
      <c r="K38" s="2"/>
      <c r="L38" s="1"/>
    </row>
    <row r="40" spans="2:12" ht="17.25" customHeight="1">
      <c r="B40" s="1832" t="s">
        <v>1052</v>
      </c>
    </row>
    <row r="41" spans="2:12" ht="15.75" customHeight="1">
      <c r="B41" s="1848" t="s">
        <v>1064</v>
      </c>
      <c r="C41" s="1848"/>
      <c r="D41" s="1848"/>
      <c r="E41" s="1848"/>
      <c r="F41" s="1848"/>
      <c r="G41" s="1848"/>
      <c r="H41" s="1848"/>
      <c r="I41" s="1848"/>
      <c r="J41" s="1848"/>
      <c r="K41" s="1848"/>
      <c r="L41" s="1848"/>
    </row>
    <row r="42" spans="2:12" ht="13.5" customHeight="1">
      <c r="B42" s="1849" t="s">
        <v>1065</v>
      </c>
      <c r="D42" s="1848"/>
      <c r="E42" s="1848"/>
      <c r="F42" s="1848"/>
      <c r="G42" s="1848"/>
      <c r="H42" s="1848"/>
      <c r="I42" s="1848"/>
      <c r="J42" s="1848"/>
      <c r="K42" s="1848"/>
      <c r="L42" s="1848"/>
    </row>
    <row r="43" spans="2:12">
      <c r="B43" s="1848"/>
      <c r="C43" s="1848"/>
      <c r="D43" s="1848"/>
      <c r="E43" s="1848"/>
      <c r="F43" s="1848"/>
      <c r="G43" s="1848"/>
      <c r="H43" s="1848"/>
      <c r="I43" s="1848"/>
      <c r="J43" s="1848"/>
      <c r="K43" s="1848"/>
      <c r="L43" s="1848"/>
    </row>
  </sheetData>
  <sheetProtection algorithmName="SHA-512" hashValue="ho0Zv/VxjaK9xmeBsmaZ8uUj3WDR/jEBim5e/+lo+VKCSbt8zYj1Lx8W3OA9iQjHL+JsPeZE1qS472EKABMZ6A==" saltValue="SKZw/GRU/xEvNY65QGRkgg==" spinCount="100000" sheet="1" objects="1" scenarios="1"/>
  <mergeCells count="12">
    <mergeCell ref="B34:B37"/>
    <mergeCell ref="H34:H37"/>
    <mergeCell ref="H8:H33"/>
    <mergeCell ref="B19:B33"/>
    <mergeCell ref="B8:B18"/>
    <mergeCell ref="K4:K6"/>
    <mergeCell ref="E4:E6"/>
    <mergeCell ref="B2:L3"/>
    <mergeCell ref="B4:D7"/>
    <mergeCell ref="F4:F5"/>
    <mergeCell ref="H4:J7"/>
    <mergeCell ref="L4: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How to start</vt:lpstr>
      <vt:lpstr>INPUT and CALCULATIONS</vt:lpstr>
      <vt:lpstr>Example of Input</vt:lpstr>
      <vt:lpstr>Parameter tables</vt:lpstr>
      <vt:lpstr>H-B ratings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Arild Palmstrøm</dc:creator>
  <cp:lastModifiedBy>Arild</cp:lastModifiedBy>
  <cp:lastPrinted>2022-08-11T07:34:54Z</cp:lastPrinted>
  <dcterms:created xsi:type="dcterms:W3CDTF">2005-05-19T20:34:20Z</dcterms:created>
  <dcterms:modified xsi:type="dcterms:W3CDTF">2022-10-10T11:01:07Z</dcterms:modified>
</cp:coreProperties>
</file>