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20" yWindow="255" windowWidth="15450" windowHeight="8520"/>
  </bookViews>
  <sheets>
    <sheet name="Information" sheetId="49" r:id="rId1"/>
    <sheet name="Geo-registrations Site (1)" sheetId="51" r:id="rId2"/>
    <sheet name="GEO-CONDITIONS site (1)" sheetId="48" r:id="rId3"/>
    <sheet name="Parameter tables" sheetId="5" r:id="rId4"/>
    <sheet name="Q-support" sheetId="20" r:id="rId5"/>
    <sheet name="RMR-support" sheetId="21" r:id="rId6"/>
    <sheet name="RMi-support" sheetId="22" r:id="rId7"/>
  </sheets>
  <calcPr calcId="145621"/>
</workbook>
</file>

<file path=xl/calcChain.xml><?xml version="1.0" encoding="utf-8"?>
<calcChain xmlns="http://schemas.openxmlformats.org/spreadsheetml/2006/main">
  <c r="F106" i="48" l="1"/>
  <c r="F79" i="48"/>
  <c r="E133" i="48" l="1"/>
  <c r="E132" i="48"/>
  <c r="E130" i="48"/>
  <c r="E129" i="48"/>
  <c r="E127" i="48"/>
  <c r="F126" i="48"/>
  <c r="E126" i="48"/>
  <c r="E125" i="48"/>
  <c r="F125" i="48" s="1"/>
  <c r="F124" i="48"/>
  <c r="E124" i="48"/>
  <c r="F123" i="48"/>
  <c r="E123" i="48"/>
  <c r="R118" i="48"/>
  <c r="E118" i="48"/>
  <c r="R117" i="48"/>
  <c r="R116" i="48"/>
  <c r="R115" i="48"/>
  <c r="R114" i="48"/>
  <c r="T113" i="48"/>
  <c r="E113" i="48"/>
  <c r="F111" i="48"/>
  <c r="E111" i="48"/>
  <c r="T109" i="48"/>
  <c r="L109" i="48"/>
  <c r="N109" i="48" s="1"/>
  <c r="E109" i="48"/>
  <c r="F109" i="48" s="1"/>
  <c r="R108" i="48"/>
  <c r="E108" i="48"/>
  <c r="F108" i="48" s="1"/>
  <c r="R107" i="48"/>
  <c r="F107" i="48"/>
  <c r="E107" i="48"/>
  <c r="R106" i="48"/>
  <c r="R105" i="48"/>
  <c r="L105" i="48"/>
  <c r="L103" i="48"/>
  <c r="L112" i="48" s="1"/>
  <c r="F103" i="48"/>
  <c r="E103" i="48"/>
  <c r="E140" i="48" s="1"/>
  <c r="R101" i="48"/>
  <c r="R100" i="48"/>
  <c r="R99" i="48"/>
  <c r="R98" i="48"/>
  <c r="R97" i="48"/>
  <c r="F95" i="48"/>
  <c r="E95" i="48"/>
  <c r="F94" i="48"/>
  <c r="E94" i="48"/>
  <c r="R93" i="48"/>
  <c r="R92" i="48"/>
  <c r="R91" i="48"/>
  <c r="R90" i="48"/>
  <c r="E90" i="48"/>
  <c r="R89" i="48"/>
  <c r="F89" i="48"/>
  <c r="E88" i="48"/>
  <c r="E87" i="48"/>
  <c r="L86" i="48"/>
  <c r="E86" i="48"/>
  <c r="R85" i="48"/>
  <c r="L85" i="48"/>
  <c r="E85" i="48"/>
  <c r="R84" i="48"/>
  <c r="F84" i="48"/>
  <c r="E84" i="48"/>
  <c r="R83" i="48"/>
  <c r="L83" i="48"/>
  <c r="R82" i="48"/>
  <c r="L82" i="48"/>
  <c r="H82" i="48"/>
  <c r="E82" i="48"/>
  <c r="F82" i="48" s="1"/>
  <c r="R81" i="48"/>
  <c r="L81" i="48"/>
  <c r="H81" i="48"/>
  <c r="E81" i="48"/>
  <c r="F81" i="48" s="1"/>
  <c r="R80" i="48"/>
  <c r="L80" i="48"/>
  <c r="H80" i="48"/>
  <c r="H83" i="48" s="1"/>
  <c r="F80" i="48"/>
  <c r="E80" i="48"/>
  <c r="R79" i="48"/>
  <c r="L79" i="48"/>
  <c r="R78" i="48"/>
  <c r="L78" i="48"/>
  <c r="F78" i="48"/>
  <c r="F105" i="48" s="1"/>
  <c r="E78" i="48"/>
  <c r="E105" i="48" s="1"/>
  <c r="F77" i="48"/>
  <c r="F104" i="48" s="1"/>
  <c r="E77" i="48"/>
  <c r="O76" i="48"/>
  <c r="L76" i="48"/>
  <c r="M76" i="48" s="1"/>
  <c r="H75" i="48"/>
  <c r="E75" i="48"/>
  <c r="F75" i="48" s="1"/>
  <c r="R74" i="48"/>
  <c r="H74" i="48"/>
  <c r="E74" i="48"/>
  <c r="F74" i="48" s="1"/>
  <c r="R73" i="48"/>
  <c r="L73" i="48"/>
  <c r="M73" i="48" s="1"/>
  <c r="R72" i="48"/>
  <c r="R71" i="48"/>
  <c r="L71" i="48"/>
  <c r="F71" i="48"/>
  <c r="E61" i="48"/>
  <c r="C61" i="48"/>
  <c r="E60" i="48"/>
  <c r="E59" i="48"/>
  <c r="S58" i="48"/>
  <c r="T58" i="48" s="1"/>
  <c r="S57" i="48"/>
  <c r="T57" i="48" s="1"/>
  <c r="B56" i="48"/>
  <c r="R47" i="48"/>
  <c r="U47" i="48" s="1"/>
  <c r="S46" i="48"/>
  <c r="T46" i="48" s="1"/>
  <c r="R46" i="48"/>
  <c r="U45" i="48"/>
  <c r="S45" i="48"/>
  <c r="T45" i="48" s="1"/>
  <c r="R45" i="48"/>
  <c r="V44" i="48"/>
  <c r="U43" i="48"/>
  <c r="R43" i="48"/>
  <c r="R42" i="48"/>
  <c r="S41" i="48"/>
  <c r="T41" i="48" s="1"/>
  <c r="R41" i="48"/>
  <c r="S47" i="48" s="1"/>
  <c r="T47" i="48" s="1"/>
  <c r="V39" i="48"/>
  <c r="S39" i="48"/>
  <c r="T39" i="48" s="1"/>
  <c r="R39" i="48"/>
  <c r="S37" i="48"/>
  <c r="T37" i="48" s="1"/>
  <c r="R37" i="48"/>
  <c r="S35" i="48"/>
  <c r="T35" i="48" s="1"/>
  <c r="R35" i="48"/>
  <c r="R32" i="48"/>
  <c r="S31" i="48"/>
  <c r="T31" i="48" s="1"/>
  <c r="S30" i="48"/>
  <c r="T30" i="48" s="1"/>
  <c r="R29" i="48"/>
  <c r="S27" i="48"/>
  <c r="T27" i="48" s="1"/>
  <c r="R27" i="48"/>
  <c r="S26" i="48"/>
  <c r="T26" i="48" s="1"/>
  <c r="R26" i="48"/>
  <c r="S25" i="48"/>
  <c r="T25" i="48" s="1"/>
  <c r="R25" i="48"/>
  <c r="S23" i="48"/>
  <c r="T23" i="48" s="1"/>
  <c r="R23" i="48"/>
  <c r="S21" i="48"/>
  <c r="R21" i="48"/>
  <c r="W19" i="48"/>
  <c r="T19" i="48" s="1"/>
  <c r="S19" i="48"/>
  <c r="R19" i="48"/>
  <c r="AB18" i="48"/>
  <c r="AA17" i="48"/>
  <c r="Z17" i="48" s="1"/>
  <c r="V17" i="48"/>
  <c r="S17" i="48"/>
  <c r="R17" i="48"/>
  <c r="AB16" i="48"/>
  <c r="X16" i="48" s="1"/>
  <c r="Z15" i="48"/>
  <c r="W15" i="48"/>
  <c r="AA18" i="48" s="1"/>
  <c r="W18" i="48" s="1"/>
  <c r="V15" i="48"/>
  <c r="S15" i="48"/>
  <c r="R15" i="48"/>
  <c r="T13" i="48"/>
  <c r="S13" i="48"/>
  <c r="R13" i="48"/>
  <c r="R11" i="48"/>
  <c r="R7" i="48"/>
  <c r="AA16" i="48" l="1"/>
  <c r="Z16" i="48" s="1"/>
  <c r="E110" i="48"/>
  <c r="V19" i="48"/>
  <c r="E114" i="48"/>
  <c r="T17" i="48" s="1"/>
  <c r="E83" i="48"/>
  <c r="L106" i="48"/>
  <c r="L107" i="48"/>
  <c r="L110" i="48"/>
  <c r="N110" i="48" s="1"/>
  <c r="L104" i="48"/>
  <c r="E89" i="48"/>
  <c r="L108" i="48"/>
  <c r="L111" i="48"/>
  <c r="L84" i="48"/>
  <c r="N81" i="48" s="1"/>
  <c r="E79" i="48"/>
  <c r="X18" i="48"/>
  <c r="Z18" i="48"/>
  <c r="V18" i="48"/>
  <c r="R50" i="48"/>
  <c r="E73" i="48"/>
  <c r="E115" i="48"/>
  <c r="T21" i="48" s="1"/>
  <c r="H73" i="48"/>
  <c r="H76" i="48" s="1"/>
  <c r="E128" i="48"/>
  <c r="E131" i="48" s="1"/>
  <c r="W16" i="48"/>
  <c r="X15" i="48"/>
  <c r="X19" i="48"/>
  <c r="X17" i="48"/>
  <c r="L72" i="48"/>
  <c r="E104" i="48"/>
  <c r="E106" i="48" s="1"/>
  <c r="W17" i="48"/>
  <c r="AB17" i="48"/>
  <c r="E112" i="48" l="1"/>
  <c r="E116" i="48" s="1"/>
  <c r="E117" i="48"/>
  <c r="E119" i="48" s="1"/>
  <c r="E134" i="48" s="1"/>
  <c r="F134" i="48" s="1"/>
  <c r="L75" i="48"/>
  <c r="O75" i="48"/>
  <c r="O77" i="48" s="1"/>
  <c r="M72" i="48"/>
  <c r="L74" i="48"/>
  <c r="U8" i="48"/>
  <c r="V16" i="48"/>
  <c r="G71" i="48"/>
  <c r="E71" i="48" s="1"/>
  <c r="E72" i="48" s="1"/>
  <c r="E76" i="48"/>
  <c r="F73" i="48"/>
  <c r="E137" i="48" l="1"/>
  <c r="F137" i="48" s="1"/>
  <c r="E139" i="48"/>
  <c r="E138" i="48"/>
  <c r="K59" i="48" s="1"/>
  <c r="M53" i="48"/>
  <c r="E136" i="48"/>
  <c r="F136" i="48" s="1"/>
  <c r="E135" i="48"/>
  <c r="F119" i="48"/>
  <c r="N53" i="48" s="1"/>
  <c r="T15" i="48"/>
  <c r="E91" i="48"/>
  <c r="M75" i="48"/>
  <c r="L77" i="48"/>
  <c r="L87" i="48" s="1"/>
  <c r="S44" i="48"/>
  <c r="O62" i="48" s="1"/>
  <c r="S43" i="48"/>
  <c r="M52" i="48" s="1"/>
  <c r="K113" i="48" l="1"/>
  <c r="U52" i="48" s="1"/>
  <c r="T52" i="48" s="1"/>
  <c r="N59" i="48" s="1"/>
  <c r="F91" i="48"/>
  <c r="N50" i="48" s="1"/>
  <c r="L58" i="48"/>
  <c r="E92" i="48"/>
  <c r="M50" i="48"/>
  <c r="P51" i="48" s="1"/>
  <c r="E98" i="48"/>
  <c r="K58" i="48" s="1"/>
  <c r="F93" i="48"/>
  <c r="E93" i="48" s="1"/>
  <c r="P50" i="48" s="1"/>
  <c r="L91" i="48"/>
  <c r="K88" i="48"/>
  <c r="U51" i="48" s="1"/>
  <c r="T51" i="48" s="1"/>
  <c r="N57" i="48" s="1"/>
  <c r="M87" i="48"/>
  <c r="N51" i="48" s="1"/>
  <c r="L90" i="48"/>
  <c r="K57" i="48" s="1"/>
  <c r="M51" i="48"/>
  <c r="P52" i="48"/>
  <c r="N52" i="48"/>
  <c r="P59" i="48"/>
  <c r="C96" i="48" l="1"/>
  <c r="U50" i="48" s="1"/>
  <c r="T50" i="48" s="1"/>
  <c r="N58" i="48" s="1"/>
  <c r="Q59" i="48"/>
  <c r="O60" i="48"/>
  <c r="T59" i="48"/>
  <c r="W198" i="5" l="1"/>
  <c r="W197" i="5"/>
  <c r="W196" i="5"/>
  <c r="T197" i="5" l="1"/>
  <c r="AB91" i="5" l="1"/>
  <c r="Z91" i="5"/>
  <c r="AA91" i="5"/>
  <c r="AA92" i="5"/>
  <c r="Z90" i="5"/>
  <c r="W90" i="5"/>
  <c r="Y90" i="5"/>
  <c r="Y91" i="5"/>
  <c r="X89" i="5"/>
  <c r="X90" i="5"/>
  <c r="X91" i="5"/>
  <c r="X92" i="5"/>
  <c r="X88" i="5"/>
  <c r="T92" i="5"/>
  <c r="T91" i="5"/>
  <c r="Q90" i="5"/>
  <c r="T89" i="5"/>
  <c r="J36" i="5"/>
  <c r="D35" i="5"/>
  <c r="D8" i="5"/>
  <c r="L8" i="5" s="1"/>
  <c r="D9" i="5"/>
  <c r="L9" i="5" s="1"/>
  <c r="D10" i="5"/>
  <c r="L10" i="5" s="1"/>
  <c r="D11" i="5"/>
  <c r="L11" i="5" s="1"/>
  <c r="D12" i="5"/>
  <c r="L12" i="5" s="1"/>
  <c r="D13" i="5"/>
  <c r="L13" i="5" s="1"/>
  <c r="F14" i="5"/>
  <c r="F59" i="5" l="1"/>
  <c r="C59" i="5" s="1"/>
  <c r="D57" i="5"/>
  <c r="C57" i="5" s="1"/>
  <c r="D58" i="5"/>
  <c r="C58" i="5" s="1"/>
  <c r="D56" i="5"/>
  <c r="C56" i="5" s="1"/>
  <c r="D47" i="5"/>
  <c r="F48" i="5"/>
  <c r="L48" i="5" s="1"/>
  <c r="D46" i="5"/>
  <c r="J29" i="5" l="1"/>
  <c r="D34" i="5"/>
  <c r="D31" i="5"/>
  <c r="D32" i="5"/>
  <c r="J32" i="5" s="1"/>
  <c r="D33" i="5"/>
  <c r="J33" i="5" s="1"/>
  <c r="D30" i="5"/>
  <c r="C51" i="5"/>
  <c r="D53" i="5"/>
  <c r="C53" i="5" s="1"/>
  <c r="D54" i="5"/>
  <c r="C54" i="5" s="1"/>
  <c r="D55" i="5"/>
  <c r="C55" i="5" s="1"/>
  <c r="D52" i="5"/>
  <c r="C52" i="5" s="1"/>
  <c r="D45" i="5"/>
  <c r="D43" i="5"/>
  <c r="L43" i="5" s="1"/>
  <c r="D44" i="5"/>
  <c r="L44" i="5" s="1"/>
  <c r="D42" i="5"/>
  <c r="L42" i="5" s="1"/>
  <c r="D41" i="5"/>
  <c r="L41" i="5" s="1"/>
  <c r="L40" i="5"/>
  <c r="T196" i="5" l="1"/>
  <c r="AD91" i="5"/>
  <c r="AE91" i="5"/>
  <c r="AE92" i="5"/>
  <c r="AF92" i="5"/>
  <c r="AF91" i="5"/>
  <c r="AE87" i="5"/>
  <c r="AD88" i="5"/>
  <c r="AE88" i="5"/>
  <c r="AF88" i="5"/>
  <c r="AD89" i="5"/>
  <c r="AE89" i="5"/>
  <c r="AF89" i="5"/>
  <c r="AF87" i="5"/>
  <c r="AA89" i="5"/>
  <c r="AB89" i="5"/>
  <c r="Y89" i="5"/>
  <c r="X87" i="5"/>
  <c r="Y87" i="5"/>
  <c r="W88" i="5"/>
  <c r="Y88" i="5"/>
  <c r="U89" i="5"/>
  <c r="V89" i="5"/>
  <c r="U90" i="5"/>
  <c r="V90" i="5"/>
  <c r="U91" i="5"/>
  <c r="V91" i="5"/>
  <c r="U92" i="5"/>
  <c r="V92" i="5"/>
  <c r="U88" i="5"/>
  <c r="V88" i="5"/>
  <c r="R87" i="5"/>
  <c r="S87" i="5"/>
  <c r="R88" i="5"/>
  <c r="S88" i="5"/>
  <c r="R89" i="5"/>
  <c r="S89" i="5"/>
  <c r="R90" i="5"/>
  <c r="S90" i="5"/>
  <c r="R91" i="5"/>
  <c r="S91" i="5"/>
  <c r="R92" i="5"/>
  <c r="S92" i="5"/>
  <c r="Q91" i="5"/>
  <c r="D7" i="5"/>
  <c r="L7" i="5" s="1"/>
  <c r="F62" i="5"/>
  <c r="D63" i="5"/>
  <c r="D64" i="5"/>
  <c r="D65" i="5"/>
  <c r="R77" i="5"/>
  <c r="Q78" i="5"/>
  <c r="R78" i="5"/>
  <c r="Q79" i="5"/>
  <c r="R79" i="5"/>
  <c r="Q80" i="5"/>
  <c r="R80" i="5"/>
  <c r="Q81" i="5"/>
  <c r="R81" i="5"/>
  <c r="Q82" i="5"/>
  <c r="R82" i="5"/>
  <c r="Q83" i="5"/>
  <c r="R83" i="5"/>
  <c r="Q84" i="5"/>
  <c r="R84" i="5"/>
</calcChain>
</file>

<file path=xl/sharedStrings.xml><?xml version="1.0" encoding="utf-8"?>
<sst xmlns="http://schemas.openxmlformats.org/spreadsheetml/2006/main" count="1848" uniqueCount="955">
  <si>
    <t>Q</t>
  </si>
  <si>
    <t>RMi</t>
  </si>
  <si>
    <t>C1</t>
  </si>
  <si>
    <t>C2</t>
  </si>
  <si>
    <t>A1</t>
  </si>
  <si>
    <t>B1</t>
  </si>
  <si>
    <t>B2</t>
  </si>
  <si>
    <t>B3</t>
  </si>
  <si>
    <t>D1</t>
  </si>
  <si>
    <t>D2</t>
  </si>
  <si>
    <t>D3</t>
  </si>
  <si>
    <t>Block volume  (Vb)</t>
  </si>
  <si>
    <t>Number of joint sets</t>
  </si>
  <si>
    <t>Correlations of the input parameters to Q, RMR and RMi</t>
  </si>
  <si>
    <t>A1 =</t>
  </si>
  <si>
    <r>
      <t>s</t>
    </r>
    <r>
      <rPr>
        <vertAlign val="subscript"/>
        <sz val="7"/>
        <color indexed="8"/>
        <rFont val="Arial"/>
        <family val="2"/>
      </rPr>
      <t>c</t>
    </r>
    <r>
      <rPr>
        <sz val="7"/>
        <color indexed="8"/>
        <rFont val="Arial"/>
        <family val="2"/>
      </rPr>
      <t xml:space="preserve">  =</t>
    </r>
  </si>
  <si>
    <t>a</t>
  </si>
  <si>
    <t xml:space="preserve">          Soil</t>
  </si>
  <si>
    <t>b</t>
  </si>
  <si>
    <t>Rock</t>
  </si>
  <si>
    <t>Very low strength</t>
  </si>
  <si>
    <t>c</t>
  </si>
  <si>
    <t>Low strength</t>
  </si>
  <si>
    <t>d</t>
  </si>
  <si>
    <t>Moderate strength</t>
  </si>
  <si>
    <t>e</t>
  </si>
  <si>
    <t>Medium strength</t>
  </si>
  <si>
    <t>f</t>
  </si>
  <si>
    <t>High strength</t>
  </si>
  <si>
    <t>g</t>
  </si>
  <si>
    <t>Very high strength</t>
  </si>
  <si>
    <t>DEGREE OF JOINTING</t>
  </si>
  <si>
    <t>A2 =</t>
  </si>
  <si>
    <t>RQD =</t>
  </si>
  <si>
    <t>Very good</t>
  </si>
  <si>
    <t>Good</t>
  </si>
  <si>
    <t>Fair</t>
  </si>
  <si>
    <t>Poor</t>
  </si>
  <si>
    <t>Very poor</t>
  </si>
  <si>
    <t>A3 =</t>
  </si>
  <si>
    <t>Very large spacing</t>
  </si>
  <si>
    <t>Large spacing</t>
  </si>
  <si>
    <t>Moderate spacing</t>
  </si>
  <si>
    <t>Small spacing</t>
  </si>
  <si>
    <t>Very small spacing</t>
  </si>
  <si>
    <t>Jn =</t>
  </si>
  <si>
    <t>Nj =</t>
  </si>
  <si>
    <t>No or few joints</t>
  </si>
  <si>
    <t>1  joint set</t>
  </si>
  <si>
    <t>1  joint set + random joints</t>
  </si>
  <si>
    <t>2  joint sets</t>
  </si>
  <si>
    <t>2  joint sets + random joints</t>
  </si>
  <si>
    <t>3  joint sets</t>
  </si>
  <si>
    <t>3  joint sets + random joints</t>
  </si>
  <si>
    <t>h</t>
  </si>
  <si>
    <r>
      <t xml:space="preserve">4  joint sets or more; </t>
    </r>
    <r>
      <rPr>
        <sz val="7"/>
        <color indexed="8"/>
        <rFont val="Arial"/>
        <family val="2"/>
      </rPr>
      <t>heavily jointed</t>
    </r>
  </si>
  <si>
    <t>i</t>
  </si>
  <si>
    <t>Crushed, earth-like</t>
  </si>
  <si>
    <t>-</t>
  </si>
  <si>
    <t>JOINT CHARACTERISTICS</t>
  </si>
  <si>
    <t>A4c =</t>
  </si>
  <si>
    <t>(js =)</t>
  </si>
  <si>
    <t>js =</t>
  </si>
  <si>
    <t>Rough or irregular</t>
  </si>
  <si>
    <t>Slightly rough</t>
  </si>
  <si>
    <t>Smooth</t>
  </si>
  <si>
    <t>Polished</t>
  </si>
  <si>
    <t>Slickensided</t>
  </si>
  <si>
    <t>(jw =)</t>
  </si>
  <si>
    <t>jw =</t>
  </si>
  <si>
    <t>Strongly undulating</t>
  </si>
  <si>
    <t>Moderately undulating</t>
  </si>
  <si>
    <t>Slightly undulating</t>
  </si>
  <si>
    <t>Planar</t>
  </si>
  <si>
    <t>A4e =</t>
  </si>
  <si>
    <t>Ja =</t>
  </si>
  <si>
    <t>jA =</t>
  </si>
  <si>
    <t>Healed or welded joints</t>
  </si>
  <si>
    <t>Slightly weathered joint walls (coloured, stained)</t>
  </si>
  <si>
    <t>A4d =</t>
  </si>
  <si>
    <t xml:space="preserve"> -</t>
  </si>
  <si>
    <t>Friction materials (silt, sand, etc.)</t>
  </si>
  <si>
    <t>Swelling clay materials</t>
  </si>
  <si>
    <t>A4a =</t>
  </si>
  <si>
    <t>jL =</t>
  </si>
  <si>
    <t>Parting (very short, thin joint)</t>
  </si>
  <si>
    <t>&lt; 1m</t>
  </si>
  <si>
    <t>Very short joint</t>
  </si>
  <si>
    <t>0.3 – 1m</t>
  </si>
  <si>
    <t>Short joint</t>
  </si>
  <si>
    <t>1 – 3m</t>
  </si>
  <si>
    <t>Medium joint</t>
  </si>
  <si>
    <t>3 – 10m</t>
  </si>
  <si>
    <t>Long joint</t>
  </si>
  <si>
    <t>A4b =</t>
  </si>
  <si>
    <t>Very tight</t>
  </si>
  <si>
    <t>A &lt; 0.1mm</t>
  </si>
  <si>
    <t>Tight</t>
  </si>
  <si>
    <t>Very open</t>
  </si>
  <si>
    <t>B =</t>
  </si>
  <si>
    <t>Co =</t>
  </si>
  <si>
    <t>Very favourable</t>
  </si>
  <si>
    <t>Favourable</t>
  </si>
  <si>
    <t>Unfavourable</t>
  </si>
  <si>
    <t>Very unfavourable</t>
  </si>
  <si>
    <t>GROUND WATER</t>
  </si>
  <si>
    <t>A5 =</t>
  </si>
  <si>
    <t>Jw =</t>
  </si>
  <si>
    <t>GW =</t>
  </si>
  <si>
    <t>Wet</t>
  </si>
  <si>
    <t>Dripping</t>
  </si>
  <si>
    <t>SRF =</t>
  </si>
  <si>
    <t>SL =</t>
  </si>
  <si>
    <t>Heavy rock burst</t>
  </si>
  <si>
    <t>Mild squeezing</t>
  </si>
  <si>
    <t>Heavy squeezing</t>
  </si>
  <si>
    <t>any depth</t>
  </si>
  <si>
    <t>depth &lt; 50m</t>
  </si>
  <si>
    <t>depth &gt; 50m</t>
  </si>
  <si>
    <t>Single shear zone</t>
  </si>
  <si>
    <r>
      <t>Heavily jointed</t>
    </r>
    <r>
      <rPr>
        <b/>
        <sz val="7"/>
        <rFont val="Arial"/>
        <family val="2"/>
      </rPr>
      <t xml:space="preserve"> </t>
    </r>
    <r>
      <rPr>
        <sz val="7"/>
        <rFont val="Arial"/>
        <family val="2"/>
      </rPr>
      <t>("sugar cube")</t>
    </r>
  </si>
  <si>
    <t>Coz =</t>
  </si>
  <si>
    <t>RQD</t>
  </si>
  <si>
    <t>ROCKS</t>
  </si>
  <si>
    <t>RMR system</t>
  </si>
  <si>
    <t>Parameter</t>
  </si>
  <si>
    <t>Value</t>
  </si>
  <si>
    <t>Rating</t>
  </si>
  <si>
    <t>interim RQD =</t>
  </si>
  <si>
    <t>from block size</t>
  </si>
  <si>
    <t>from input value</t>
  </si>
  <si>
    <t>RMR =</t>
  </si>
  <si>
    <t>Q =</t>
  </si>
  <si>
    <t>Limit of RMR:</t>
  </si>
  <si>
    <t>Qc =</t>
  </si>
  <si>
    <t>Limit of Q:</t>
  </si>
  <si>
    <r>
      <t>s</t>
    </r>
    <r>
      <rPr>
        <vertAlign val="subscript"/>
        <sz val="9"/>
        <rFont val="Arial"/>
        <family val="2"/>
      </rPr>
      <t>c</t>
    </r>
    <r>
      <rPr>
        <sz val="9"/>
        <rFont val="Arial"/>
        <family val="2"/>
      </rPr>
      <t xml:space="preserve"> =</t>
    </r>
  </si>
  <si>
    <t>Vb =</t>
  </si>
  <si>
    <t xml:space="preserve">m³ </t>
  </si>
  <si>
    <t>RMi =</t>
  </si>
  <si>
    <t>roof</t>
  </si>
  <si>
    <t>wall</t>
  </si>
  <si>
    <r>
      <t>Co</t>
    </r>
    <r>
      <rPr>
        <vertAlign val="subscript"/>
        <sz val="8"/>
        <rFont val="Arial"/>
        <family val="2"/>
      </rPr>
      <t xml:space="preserve"> </t>
    </r>
    <r>
      <rPr>
        <sz val="8"/>
        <rFont val="Arial"/>
        <family val="2"/>
      </rPr>
      <t xml:space="preserve"> =</t>
    </r>
  </si>
  <si>
    <r>
      <t>Co</t>
    </r>
    <r>
      <rPr>
        <sz val="8"/>
        <rFont val="Arial"/>
        <family val="2"/>
      </rPr>
      <t xml:space="preserve"> =</t>
    </r>
  </si>
  <si>
    <r>
      <t>Gc</t>
    </r>
    <r>
      <rPr>
        <vertAlign val="subscript"/>
        <sz val="8"/>
        <rFont val="Arial"/>
        <family val="2"/>
      </rPr>
      <t>roof</t>
    </r>
    <r>
      <rPr>
        <sz val="8"/>
        <rFont val="Arial"/>
        <family val="2"/>
      </rPr>
      <t xml:space="preserve"> =</t>
    </r>
  </si>
  <si>
    <r>
      <t>Gc</t>
    </r>
    <r>
      <rPr>
        <vertAlign val="subscript"/>
        <sz val="8"/>
        <rFont val="Arial"/>
        <family val="2"/>
      </rPr>
      <t>wall</t>
    </r>
    <r>
      <rPr>
        <sz val="8"/>
        <rFont val="Arial"/>
        <family val="2"/>
      </rPr>
      <t xml:space="preserve"> =</t>
    </r>
  </si>
  <si>
    <t>Tz &gt; Dt?</t>
  </si>
  <si>
    <t>Tz &gt; Wt?</t>
  </si>
  <si>
    <t>m</t>
  </si>
  <si>
    <t>Stress level</t>
  </si>
  <si>
    <t>Joint orientation</t>
  </si>
  <si>
    <t>Water</t>
  </si>
  <si>
    <t>F</t>
  </si>
  <si>
    <t>Stress reduction factor</t>
  </si>
  <si>
    <t>Joint alteration factor</t>
  </si>
  <si>
    <t>Joint roughness factor</t>
  </si>
  <si>
    <t>Joint water factor</t>
  </si>
  <si>
    <t xml:space="preserve"> - </t>
  </si>
  <si>
    <t>Size ratio</t>
  </si>
  <si>
    <t>Ground water</t>
  </si>
  <si>
    <t>Tz =</t>
  </si>
  <si>
    <t>Zone orientation</t>
  </si>
  <si>
    <t>Rock strength</t>
  </si>
  <si>
    <t>Tunnel data</t>
  </si>
  <si>
    <t>Q value</t>
  </si>
  <si>
    <t>Dt =</t>
  </si>
  <si>
    <t>Wt =</t>
  </si>
  <si>
    <t>Span =</t>
  </si>
  <si>
    <t>Gc =</t>
  </si>
  <si>
    <t>Zone width</t>
  </si>
  <si>
    <t>Classification of RMi</t>
  </si>
  <si>
    <t xml:space="preserve"> TERM</t>
  </si>
  <si>
    <t>all strikes</t>
  </si>
  <si>
    <t>0.5 - 2</t>
  </si>
  <si>
    <t>50 - 200</t>
  </si>
  <si>
    <t>200 - 400</t>
  </si>
  <si>
    <t xml:space="preserve"> 5 - 50</t>
  </si>
  <si>
    <t xml:space="preserve"> 5 - 10</t>
  </si>
  <si>
    <t xml:space="preserve"> 10 - 20</t>
  </si>
  <si>
    <t>Very high</t>
  </si>
  <si>
    <t>Low</t>
  </si>
  <si>
    <t>Very low</t>
  </si>
  <si>
    <t>Extremely low</t>
  </si>
  <si>
    <t>&gt;</t>
  </si>
  <si>
    <t>&lt;</t>
  </si>
  <si>
    <t>Roof condition</t>
  </si>
  <si>
    <t>Wall condition</t>
  </si>
  <si>
    <t>Size ratio zone</t>
  </si>
  <si>
    <r>
      <t>Sr</t>
    </r>
    <r>
      <rPr>
        <b/>
        <vertAlign val="subscript"/>
        <sz val="8"/>
        <rFont val="Arial"/>
        <family val="2"/>
      </rPr>
      <t xml:space="preserve"> roof </t>
    </r>
    <r>
      <rPr>
        <b/>
        <sz val="8"/>
        <rFont val="Arial"/>
        <family val="2"/>
      </rPr>
      <t xml:space="preserve"> =</t>
    </r>
  </si>
  <si>
    <r>
      <t>Sr</t>
    </r>
    <r>
      <rPr>
        <b/>
        <vertAlign val="subscript"/>
        <sz val="8"/>
        <rFont val="Arial"/>
        <family val="2"/>
      </rPr>
      <t xml:space="preserve"> wall</t>
    </r>
    <r>
      <rPr>
        <b/>
        <sz val="8"/>
        <rFont val="Arial"/>
        <family val="2"/>
      </rPr>
      <t xml:space="preserve"> =</t>
    </r>
  </si>
  <si>
    <t>Low stress level</t>
  </si>
  <si>
    <t>Medium stress level</t>
  </si>
  <si>
    <t>High stress level</t>
  </si>
  <si>
    <t>5 - 10</t>
  </si>
  <si>
    <t xml:space="preserve"> 8 - 12</t>
  </si>
  <si>
    <t xml:space="preserve"> 13 - 20</t>
  </si>
  <si>
    <t>8</t>
  </si>
  <si>
    <t>Classification of  RMR</t>
  </si>
  <si>
    <t>Classification of  Q</t>
  </si>
  <si>
    <t>Zone width vs. tunnel size</t>
  </si>
  <si>
    <t>A</t>
  </si>
  <si>
    <t>B</t>
  </si>
  <si>
    <t>C</t>
  </si>
  <si>
    <t>D</t>
  </si>
  <si>
    <t>E</t>
  </si>
  <si>
    <t>G</t>
  </si>
  <si>
    <r>
      <t>Joint spacing</t>
    </r>
    <r>
      <rPr>
        <vertAlign val="superscript"/>
        <sz val="8"/>
        <color indexed="8"/>
        <rFont val="Arial"/>
        <family val="2"/>
      </rPr>
      <t xml:space="preserve">1) </t>
    </r>
  </si>
  <si>
    <t>JOINTING PATTERN</t>
  </si>
  <si>
    <t>Length &lt; ~0.3m</t>
  </si>
  <si>
    <t>1. RMi Basic parameters</t>
  </si>
  <si>
    <t>Classification of Size ratio (Sr)</t>
  </si>
  <si>
    <t>Sr =</t>
  </si>
  <si>
    <t>fair</t>
  </si>
  <si>
    <t>t &lt; 5mm</t>
  </si>
  <si>
    <t>t &gt; 5mm</t>
  </si>
  <si>
    <t>&lt; 5mm</t>
  </si>
  <si>
    <t xml:space="preserve"> &gt; 5mm</t>
  </si>
  <si>
    <t>Classification of ground condition factor  (Gc)</t>
  </si>
  <si>
    <t>Thickness or width of the zone (Tz)</t>
  </si>
  <si>
    <t>Joint weathering</t>
  </si>
  <si>
    <t>h // i</t>
  </si>
  <si>
    <t>j // k</t>
  </si>
  <si>
    <t>l // m</t>
  </si>
  <si>
    <t>n // o</t>
  </si>
  <si>
    <t>(t = joint thickness)</t>
  </si>
  <si>
    <t>For filled joints →</t>
  </si>
  <si>
    <t xml:space="preserve">  Note: Q and RMi apply a combination of joint weathering and infilling, while RMR has input of both weathering and infilling</t>
  </si>
  <si>
    <r>
      <t>Q</t>
    </r>
    <r>
      <rPr>
        <vertAlign val="superscript"/>
        <sz val="8"/>
        <rFont val="Arial"/>
        <family val="2"/>
      </rPr>
      <t>1)</t>
    </r>
  </si>
  <si>
    <t>Joint length</t>
  </si>
  <si>
    <t>Overstressing in deformable rock mass</t>
  </si>
  <si>
    <t>Rock quality designation  (RQD)</t>
  </si>
  <si>
    <t>D4</t>
  </si>
  <si>
    <t>D5</t>
  </si>
  <si>
    <t>Joint alteration or weathering</t>
  </si>
  <si>
    <t>For RMi:</t>
  </si>
  <si>
    <t>G1</t>
  </si>
  <si>
    <t>G2</t>
  </si>
  <si>
    <t>ROCK STRESSES (stresses around tunnel)</t>
  </si>
  <si>
    <t>Overstressing; stresses exceed rockmass strength</t>
  </si>
  <si>
    <t>Stress level; stresses below rockmass strength</t>
  </si>
  <si>
    <t>Discontinuous joints</t>
  </si>
  <si>
    <t xml:space="preserve">Ja =    </t>
  </si>
  <si>
    <t xml:space="preserve">SRF =    </t>
  </si>
  <si>
    <t xml:space="preserve">Jn =    </t>
  </si>
  <si>
    <t>Type of weakness zone</t>
  </si>
  <si>
    <t>Wall height =</t>
  </si>
  <si>
    <t>in roof</t>
  </si>
  <si>
    <t>l</t>
  </si>
  <si>
    <t>o</t>
  </si>
  <si>
    <t>j</t>
  </si>
  <si>
    <t>k</t>
  </si>
  <si>
    <t>n</t>
  </si>
  <si>
    <t>p</t>
  </si>
  <si>
    <t>q</t>
  </si>
  <si>
    <r>
      <t xml:space="preserve">SL </t>
    </r>
    <r>
      <rPr>
        <sz val="7"/>
        <rFont val="Arial"/>
        <family val="2"/>
      </rPr>
      <t>=</t>
    </r>
  </si>
  <si>
    <t>Range of Ja and jA given in the Q and in the RMi systems</t>
  </si>
  <si>
    <t>Gc</t>
  </si>
  <si>
    <t>Hard, cohesive materials (clay, talc, chlorite)</t>
  </si>
  <si>
    <r>
      <rPr>
        <i/>
        <vertAlign val="superscript"/>
        <sz val="7"/>
        <color indexed="8"/>
        <rFont val="Arial"/>
        <family val="2"/>
      </rPr>
      <t xml:space="preserve"> 1)</t>
    </r>
    <r>
      <rPr>
        <i/>
        <sz val="7"/>
        <color indexed="8"/>
        <rFont val="Arial"/>
        <family val="2"/>
      </rPr>
      <t xml:space="preserve"> Jr is found from:  js x jw</t>
    </r>
  </si>
  <si>
    <t>Tight structure</t>
  </si>
  <si>
    <t>Very tight structure</t>
  </si>
  <si>
    <t>IL =</t>
  </si>
  <si>
    <t>H</t>
  </si>
  <si>
    <t>H1</t>
  </si>
  <si>
    <t>H2</t>
  </si>
  <si>
    <t>H3, H4</t>
  </si>
  <si>
    <t>Joint infilling</t>
  </si>
  <si>
    <r>
      <t>1)</t>
    </r>
    <r>
      <rPr>
        <i/>
        <sz val="7"/>
        <rFont val="Arial"/>
        <family val="2"/>
      </rPr>
      <t xml:space="preserve"> Where more than one joint set occurs, the rating for the smallest spacing should be applied</t>
    </r>
  </si>
  <si>
    <t>wall      contact *)</t>
  </si>
  <si>
    <t>no wall contact **)</t>
  </si>
  <si>
    <t>Size of the zone</t>
  </si>
  <si>
    <t>WEAKNESS ZONES *)</t>
  </si>
  <si>
    <r>
      <t xml:space="preserve">Orientation of zone </t>
    </r>
    <r>
      <rPr>
        <sz val="8"/>
        <rFont val="Arial"/>
        <family val="2"/>
      </rPr>
      <t xml:space="preserve">related to excavation </t>
    </r>
    <r>
      <rPr>
        <sz val="7"/>
        <rFont val="Arial"/>
        <family val="2"/>
      </rPr>
      <t>(H3 in roof; H4 in walls)</t>
    </r>
  </si>
  <si>
    <t>&lt;--</t>
  </si>
  <si>
    <t>Poorly interlocked</t>
  </si>
  <si>
    <t>None</t>
  </si>
  <si>
    <t>Broken with angular and rounded blocks</t>
  </si>
  <si>
    <t>Soft, cohesive materials (soft clay)</t>
  </si>
  <si>
    <t>INTERLOCKING OF ROCKMASS STRUCTURE</t>
  </si>
  <si>
    <t>Compactness of rockmass</t>
  </si>
  <si>
    <t>when the ground water has minor influence on stability</t>
  </si>
  <si>
    <t>when the ground water has some influence on stability</t>
  </si>
  <si>
    <t>when the ground water has significant influence on stability</t>
  </si>
  <si>
    <r>
      <t>p</t>
    </r>
    <r>
      <rPr>
        <vertAlign val="subscript"/>
        <sz val="7"/>
        <rFont val="Arial"/>
        <family val="2"/>
      </rPr>
      <t>w</t>
    </r>
    <r>
      <rPr>
        <sz val="7"/>
        <rFont val="Arial"/>
        <family val="2"/>
      </rPr>
      <t xml:space="preserve"> &lt; 1 kg/cm²</t>
    </r>
  </si>
  <si>
    <r>
      <t>p</t>
    </r>
    <r>
      <rPr>
        <vertAlign val="subscript"/>
        <sz val="7"/>
        <rFont val="Arial"/>
        <family val="2"/>
      </rPr>
      <t>w</t>
    </r>
    <r>
      <rPr>
        <sz val="7"/>
        <rFont val="Arial"/>
        <family val="2"/>
      </rPr>
      <t xml:space="preserve"> &gt; 10 kg/cm²</t>
    </r>
  </si>
  <si>
    <t>Undisturbed rock mass with some joint sets</t>
  </si>
  <si>
    <t>Folded / faulted with angular blocks</t>
  </si>
  <si>
    <t>Disturbed / open</t>
  </si>
  <si>
    <r>
      <t xml:space="preserve"> *) </t>
    </r>
    <r>
      <rPr>
        <i/>
        <sz val="7"/>
        <rFont val="Arial"/>
        <family val="2"/>
      </rPr>
      <t>Most weakness zones should be especially evaluated, together with the use of engineering judgement</t>
    </r>
  </si>
  <si>
    <t>Not included</t>
  </si>
  <si>
    <t>Outside limit of RMi</t>
  </si>
  <si>
    <t>Weakness zones and shears are not explicitly included in RMR</t>
  </si>
  <si>
    <t>Width of  zone in m</t>
  </si>
  <si>
    <t>use value</t>
  </si>
  <si>
    <t>&lt; 1</t>
  </si>
  <si>
    <t>Input rating of RQD (A2) to RMR is automatically calculated from input or calculation of RQD</t>
  </si>
  <si>
    <r>
      <t xml:space="preserve">Joint plane undulation or waviness </t>
    </r>
    <r>
      <rPr>
        <sz val="8"/>
        <color indexed="8"/>
        <rFont val="Arial"/>
        <family val="2"/>
      </rPr>
      <t>(large scale roughness)</t>
    </r>
  </si>
  <si>
    <t>A crude value of RQD may be found from RQD = 110-4.5Jv (Jv is the volumetric joint count)</t>
  </si>
  <si>
    <t>Block shape</t>
  </si>
  <si>
    <t>Joint sets</t>
  </si>
  <si>
    <t>Slightly long or flat blocks</t>
  </si>
  <si>
    <t>Moderately long or flat</t>
  </si>
  <si>
    <r>
      <rPr>
        <i/>
        <sz val="7"/>
        <rFont val="Symbol"/>
        <family val="1"/>
        <charset val="2"/>
      </rPr>
      <t>b</t>
    </r>
    <r>
      <rPr>
        <i/>
        <sz val="7"/>
        <rFont val="Arial"/>
        <family val="2"/>
      </rPr>
      <t xml:space="preserve"> =</t>
    </r>
  </si>
  <si>
    <t>32-50</t>
  </si>
  <si>
    <t>50-100</t>
  </si>
  <si>
    <t>100-500</t>
  </si>
  <si>
    <t>&gt;500</t>
  </si>
  <si>
    <t>27-32</t>
  </si>
  <si>
    <t>1 - 2</t>
  </si>
  <si>
    <t>2 - 5</t>
  </si>
  <si>
    <t>5 - 12</t>
  </si>
  <si>
    <t>12 - 70</t>
  </si>
  <si>
    <t>&gt; 70</t>
  </si>
  <si>
    <t>C3, C4</t>
  </si>
  <si>
    <r>
      <rPr>
        <sz val="7"/>
        <rFont val="Symbol"/>
        <family val="1"/>
        <charset val="2"/>
      </rPr>
      <t>b</t>
    </r>
    <r>
      <rPr>
        <vertAlign val="subscript"/>
        <sz val="7"/>
        <rFont val="Arial"/>
        <family val="2"/>
      </rPr>
      <t>used</t>
    </r>
    <r>
      <rPr>
        <sz val="7"/>
        <rFont val="Arial"/>
        <family val="2"/>
      </rPr>
      <t xml:space="preserve"> =</t>
    </r>
  </si>
  <si>
    <t>Very long or flat blocks</t>
  </si>
  <si>
    <t>Extremely long or flat blocks</t>
  </si>
  <si>
    <t>Cubical blocks (or compact blocks)</t>
  </si>
  <si>
    <t>Ratio  largest side/smallest side</t>
  </si>
  <si>
    <t>NOTE: blue values and blue text can be adjusted</t>
  </si>
  <si>
    <r>
      <t xml:space="preserve">Jr </t>
    </r>
    <r>
      <rPr>
        <sz val="7"/>
        <rFont val="Arial"/>
        <family val="2"/>
      </rPr>
      <t xml:space="preserve">used </t>
    </r>
    <r>
      <rPr>
        <sz val="8"/>
        <rFont val="Arial"/>
        <family val="2"/>
      </rPr>
      <t>=</t>
    </r>
  </si>
  <si>
    <r>
      <t>jR</t>
    </r>
    <r>
      <rPr>
        <sz val="7"/>
        <rFont val="Arial"/>
        <family val="2"/>
      </rPr>
      <t xml:space="preserve"> used</t>
    </r>
    <r>
      <rPr>
        <sz val="8"/>
        <rFont val="Arial"/>
        <family val="2"/>
      </rPr>
      <t xml:space="preserve"> =</t>
    </r>
  </si>
  <si>
    <t>Partly included in 'Joint separation or aperture'</t>
  </si>
  <si>
    <t>Partly included in 'Interlocking of rockmass structure'</t>
  </si>
  <si>
    <r>
      <t>Cg = RMi /</t>
    </r>
    <r>
      <rPr>
        <sz val="7"/>
        <rFont val="Symbol"/>
        <family val="1"/>
        <charset val="2"/>
      </rPr>
      <t>s</t>
    </r>
    <r>
      <rPr>
        <vertAlign val="subscript"/>
        <sz val="7"/>
        <rFont val="Symbol"/>
        <family val="1"/>
        <charset val="2"/>
      </rPr>
      <t>q</t>
    </r>
    <r>
      <rPr>
        <sz val="7"/>
        <rFont val="Cambria"/>
        <family val="1"/>
      </rPr>
      <t xml:space="preserve"> ≈</t>
    </r>
  </si>
  <si>
    <r>
      <rPr>
        <sz val="7"/>
        <rFont val="Arial"/>
        <family val="2"/>
      </rPr>
      <t>Cg = competency of ground;</t>
    </r>
    <r>
      <rPr>
        <i/>
        <sz val="7"/>
        <rFont val="Arial"/>
        <family val="2"/>
      </rPr>
      <t xml:space="preserve">  </t>
    </r>
    <r>
      <rPr>
        <i/>
        <sz val="7"/>
        <rFont val="Symbol"/>
        <family val="1"/>
        <charset val="2"/>
      </rPr>
      <t xml:space="preserve"> s</t>
    </r>
    <r>
      <rPr>
        <i/>
        <vertAlign val="subscript"/>
        <sz val="7"/>
        <rFont val="Symbol"/>
        <family val="1"/>
        <charset val="2"/>
      </rPr>
      <t>q</t>
    </r>
    <r>
      <rPr>
        <i/>
        <vertAlign val="subscript"/>
        <sz val="7"/>
        <rFont val="Arial"/>
        <family val="2"/>
      </rPr>
      <t xml:space="preserve"> </t>
    </r>
    <r>
      <rPr>
        <i/>
        <sz val="7"/>
        <rFont val="Arial"/>
        <family val="2"/>
      </rPr>
      <t xml:space="preserve"> = tangential stresses around the opening; </t>
    </r>
    <r>
      <rPr>
        <i/>
        <sz val="7"/>
        <rFont val="Symbol"/>
        <family val="1"/>
        <charset val="2"/>
      </rPr>
      <t>s</t>
    </r>
    <r>
      <rPr>
        <i/>
        <vertAlign val="subscript"/>
        <sz val="7"/>
        <rFont val="Arial"/>
        <family val="2"/>
      </rPr>
      <t>cm</t>
    </r>
    <r>
      <rPr>
        <i/>
        <sz val="7"/>
        <rFont val="Arial"/>
        <family val="2"/>
      </rPr>
      <t xml:space="preserve"> </t>
    </r>
    <r>
      <rPr>
        <sz val="7"/>
        <rFont val="Arial"/>
        <family val="2"/>
      </rPr>
      <t>≈</t>
    </r>
    <r>
      <rPr>
        <i/>
        <sz val="7"/>
        <rFont val="Arial"/>
        <family val="2"/>
      </rPr>
      <t xml:space="preserve"> RMi = compressive strength of rock mass</t>
    </r>
  </si>
  <si>
    <t xml:space="preserve">Moderate slabbing </t>
  </si>
  <si>
    <t>after &gt;1 hr</t>
  </si>
  <si>
    <t xml:space="preserve">Slabbing and rock burst </t>
  </si>
  <si>
    <t>after few minutes</t>
  </si>
  <si>
    <t>In ROOF</t>
  </si>
  <si>
    <t>Input rating of UCS (A1) to RMR is automatically calculated from the UCS value given</t>
  </si>
  <si>
    <t>BLOCK VOLUME (Vb) in  m³</t>
  </si>
  <si>
    <t>1 - 2.5</t>
  </si>
  <si>
    <r>
      <t xml:space="preserve">Vb may be calculated from Vb = </t>
    </r>
    <r>
      <rPr>
        <i/>
        <sz val="7"/>
        <color indexed="8"/>
        <rFont val="Symbol"/>
        <family val="1"/>
        <charset val="2"/>
      </rPr>
      <t>b</t>
    </r>
    <r>
      <rPr>
        <i/>
        <sz val="7"/>
        <color indexed="8"/>
        <rFont val="Arial"/>
        <family val="2"/>
      </rPr>
      <t>*Jv</t>
    </r>
    <r>
      <rPr>
        <i/>
        <vertAlign val="superscript"/>
        <sz val="7"/>
        <color indexed="8"/>
        <rFont val="Arial"/>
        <family val="2"/>
      </rPr>
      <t>-3</t>
    </r>
    <r>
      <rPr>
        <i/>
        <sz val="7"/>
        <color indexed="8"/>
        <rFont val="Arial"/>
        <family val="2"/>
      </rPr>
      <t>; A crude value of Vb may be found from 36*Jv</t>
    </r>
    <r>
      <rPr>
        <i/>
        <vertAlign val="superscript"/>
        <sz val="7"/>
        <color indexed="8"/>
        <rFont val="Arial"/>
        <family val="2"/>
      </rPr>
      <t>-3</t>
    </r>
    <r>
      <rPr>
        <i/>
        <sz val="7"/>
        <color indexed="8"/>
        <rFont val="Arial"/>
        <family val="2"/>
      </rPr>
      <t xml:space="preserve">  (</t>
    </r>
    <r>
      <rPr>
        <i/>
        <sz val="7"/>
        <color indexed="8"/>
        <rFont val="Symbol"/>
        <family val="1"/>
        <charset val="2"/>
      </rPr>
      <t>b</t>
    </r>
    <r>
      <rPr>
        <i/>
        <sz val="7"/>
        <color indexed="8"/>
        <rFont val="Arial"/>
        <family val="2"/>
      </rPr>
      <t xml:space="preserve"> = block shape factor)</t>
    </r>
  </si>
  <si>
    <r>
      <t>jA</t>
    </r>
    <r>
      <rPr>
        <sz val="7"/>
        <rFont val="Arial"/>
        <family val="2"/>
      </rPr>
      <t xml:space="preserve"> used </t>
    </r>
    <r>
      <rPr>
        <sz val="8"/>
        <rFont val="Arial"/>
        <family val="2"/>
      </rPr>
      <t>=</t>
    </r>
  </si>
  <si>
    <r>
      <t>Nj</t>
    </r>
    <r>
      <rPr>
        <sz val="7"/>
        <rFont val="Arial"/>
        <family val="2"/>
      </rPr>
      <t xml:space="preserve"> used</t>
    </r>
    <r>
      <rPr>
        <sz val="8"/>
        <rFont val="Arial"/>
        <family val="2"/>
      </rPr>
      <t xml:space="preserve"> =</t>
    </r>
  </si>
  <si>
    <r>
      <t>SRF</t>
    </r>
    <r>
      <rPr>
        <sz val="7"/>
        <rFont val="Arial"/>
        <family val="2"/>
      </rPr>
      <t xml:space="preserve"> used</t>
    </r>
    <r>
      <rPr>
        <sz val="8"/>
        <rFont val="Arial"/>
        <family val="2"/>
      </rPr>
      <t xml:space="preserve"> =</t>
    </r>
  </si>
  <si>
    <r>
      <t>Ja</t>
    </r>
    <r>
      <rPr>
        <sz val="7"/>
        <rFont val="Arial"/>
        <family val="2"/>
      </rPr>
      <t xml:space="preserve"> used</t>
    </r>
    <r>
      <rPr>
        <sz val="8"/>
        <rFont val="Arial"/>
        <family val="2"/>
      </rPr>
      <t xml:space="preserve"> =</t>
    </r>
  </si>
  <si>
    <r>
      <t>RQD</t>
    </r>
    <r>
      <rPr>
        <sz val="7"/>
        <rFont val="Arial"/>
        <family val="2"/>
      </rPr>
      <t xml:space="preserve"> used</t>
    </r>
    <r>
      <rPr>
        <sz val="8"/>
        <rFont val="Arial"/>
        <family val="2"/>
      </rPr>
      <t xml:space="preserve"> =</t>
    </r>
  </si>
  <si>
    <r>
      <t>Jn</t>
    </r>
    <r>
      <rPr>
        <sz val="7"/>
        <rFont val="Arial"/>
        <family val="2"/>
      </rPr>
      <t xml:space="preserve"> used</t>
    </r>
    <r>
      <rPr>
        <sz val="8"/>
        <rFont val="Arial"/>
        <family val="2"/>
      </rPr>
      <t xml:space="preserve"> =</t>
    </r>
  </si>
  <si>
    <r>
      <t>A3</t>
    </r>
    <r>
      <rPr>
        <sz val="7"/>
        <rFont val="Arial"/>
        <family val="2"/>
      </rPr>
      <t xml:space="preserve"> used</t>
    </r>
    <r>
      <rPr>
        <sz val="8"/>
        <rFont val="Arial"/>
        <family val="2"/>
      </rPr>
      <t xml:space="preserve"> =</t>
    </r>
  </si>
  <si>
    <t>Comment</t>
  </si>
  <si>
    <t>Joint spacing rating</t>
  </si>
  <si>
    <r>
      <t xml:space="preserve">Orientation of main joint set  </t>
    </r>
    <r>
      <rPr>
        <sz val="8"/>
        <rFont val="Arial"/>
        <family val="2"/>
      </rPr>
      <t>(C3 in roof; C4 in walls)</t>
    </r>
  </si>
  <si>
    <r>
      <rPr>
        <sz val="8"/>
        <rFont val="Symbol"/>
        <family val="1"/>
        <charset val="2"/>
      </rPr>
      <t>s</t>
    </r>
    <r>
      <rPr>
        <vertAlign val="subscript"/>
        <sz val="8"/>
        <rFont val="Arial"/>
        <family val="2"/>
      </rPr>
      <t>c</t>
    </r>
    <r>
      <rPr>
        <sz val="8"/>
        <rFont val="Arial"/>
        <family val="2"/>
      </rPr>
      <t xml:space="preserve"> </t>
    </r>
    <r>
      <rPr>
        <sz val="7"/>
        <rFont val="Arial"/>
        <family val="2"/>
      </rPr>
      <t>(MPa)</t>
    </r>
  </si>
  <si>
    <r>
      <rPr>
        <sz val="8"/>
        <color indexed="8"/>
        <rFont val="Symbol"/>
        <family val="1"/>
        <charset val="2"/>
      </rPr>
      <t>s</t>
    </r>
    <r>
      <rPr>
        <vertAlign val="subscript"/>
        <sz val="8"/>
        <color indexed="8"/>
        <rFont val="Arial"/>
        <family val="2"/>
      </rPr>
      <t>c</t>
    </r>
    <r>
      <rPr>
        <sz val="8"/>
        <color indexed="8"/>
        <rFont val="Arial"/>
        <family val="2"/>
      </rPr>
      <t xml:space="preserve"> </t>
    </r>
    <r>
      <rPr>
        <sz val="7"/>
        <color indexed="8"/>
        <rFont val="Arial"/>
        <family val="2"/>
      </rPr>
      <t>(MPa)</t>
    </r>
  </si>
  <si>
    <r>
      <t xml:space="preserve">Uniaxial compressive strength            </t>
    </r>
    <r>
      <rPr>
        <sz val="8"/>
        <rFont val="Arial"/>
        <family val="2"/>
      </rPr>
      <t xml:space="preserve">(UCS or </t>
    </r>
    <r>
      <rPr>
        <sz val="8"/>
        <color indexed="8"/>
        <rFont val="Symbol"/>
        <family val="1"/>
        <charset val="2"/>
      </rPr>
      <t>s</t>
    </r>
    <r>
      <rPr>
        <vertAlign val="subscript"/>
        <sz val="8"/>
        <color indexed="8"/>
        <rFont val="Arial"/>
        <family val="2"/>
      </rPr>
      <t>c</t>
    </r>
    <r>
      <rPr>
        <sz val="8"/>
        <color indexed="8"/>
        <rFont val="Arial"/>
        <family val="2"/>
      </rPr>
      <t>)</t>
    </r>
    <r>
      <rPr>
        <b/>
        <sz val="8"/>
        <color indexed="8"/>
        <rFont val="Arial"/>
        <family val="2"/>
      </rPr>
      <t xml:space="preserve"> </t>
    </r>
    <r>
      <rPr>
        <sz val="8"/>
        <color indexed="8"/>
        <rFont val="Arial"/>
        <family val="2"/>
      </rPr>
      <t>of intact rock</t>
    </r>
  </si>
  <si>
    <t>Decomposed / Coating of cohesive materials (clay, chlorite, etc.)</t>
  </si>
  <si>
    <t>Highly weathered / Coating of friction materials (silt, sand, etc.)</t>
  </si>
  <si>
    <t>Type of weakness zones and shears are not explicitly included in RMi</t>
  </si>
  <si>
    <t>Sr</t>
  </si>
  <si>
    <t>B4</t>
  </si>
  <si>
    <t>Jv =</t>
  </si>
  <si>
    <t>input</t>
  </si>
  <si>
    <t xml:space="preserve">input </t>
  </si>
  <si>
    <t>NOTE: Interlocking has been introduced in this spreadsheet based on its effects presented in the GSI system</t>
  </si>
  <si>
    <t>2. RMi calculations in discontinuous ground</t>
  </si>
  <si>
    <t>wall contact                        or    t &lt;  ca. 5mm</t>
  </si>
  <si>
    <t>no wall contact                                      or      t &gt; ca. 5mm</t>
  </si>
  <si>
    <t>For filled joints</t>
  </si>
  <si>
    <t>Very rough or interlocking</t>
  </si>
  <si>
    <t>Note:  jR = Jr = js x jw = 1 for filled joints</t>
  </si>
  <si>
    <t>t &lt; ca. 5mm</t>
  </si>
  <si>
    <t>t &gt; ca. 5mm</t>
  </si>
  <si>
    <t>1 - 2.5 kg/cm²</t>
  </si>
  <si>
    <t>2.5 - 10 kg/cm²</t>
  </si>
  <si>
    <t>10 - 25 litres/min</t>
  </si>
  <si>
    <t>25 - 125 litres/min</t>
  </si>
  <si>
    <t>0.05 - 1</t>
  </si>
  <si>
    <t>0.1 - 0.2</t>
  </si>
  <si>
    <t>inflow &lt; 10 litres/min</t>
  </si>
  <si>
    <t>inflow &gt; 125 litres/min</t>
  </si>
  <si>
    <t>Outside limit of RMR</t>
  </si>
  <si>
    <t>Flowing, decaying</t>
  </si>
  <si>
    <t>Gushing /outwashing</t>
  </si>
  <si>
    <t>Undisturbed rock mass, well interlocked</t>
  </si>
  <si>
    <r>
      <t xml:space="preserve">no water inflow </t>
    </r>
    <r>
      <rPr>
        <vertAlign val="superscript"/>
        <sz val="7"/>
        <rFont val="Arial"/>
        <family val="2"/>
      </rPr>
      <t>2)</t>
    </r>
  </si>
  <si>
    <t>SRF adjusted for walls &gt; 10m</t>
  </si>
  <si>
    <r>
      <t>Overstressing                      (</t>
    </r>
    <r>
      <rPr>
        <sz val="7"/>
        <rFont val="Symbol"/>
        <family val="1"/>
        <charset val="2"/>
      </rPr>
      <t>s</t>
    </r>
    <r>
      <rPr>
        <vertAlign val="subscript"/>
        <sz val="7"/>
        <rFont val="Symbol"/>
        <family val="1"/>
        <charset val="2"/>
      </rPr>
      <t>q</t>
    </r>
    <r>
      <rPr>
        <vertAlign val="subscript"/>
        <sz val="7"/>
        <rFont val="Arial"/>
        <family val="2"/>
      </rPr>
      <t xml:space="preserve"> </t>
    </r>
    <r>
      <rPr>
        <sz val="7"/>
        <rFont val="Arial"/>
        <family val="2"/>
      </rPr>
      <t xml:space="preserve"> &gt; </t>
    </r>
    <r>
      <rPr>
        <sz val="7"/>
        <rFont val="Symbol"/>
        <family val="1"/>
        <charset val="2"/>
      </rPr>
      <t>s</t>
    </r>
    <r>
      <rPr>
        <vertAlign val="subscript"/>
        <sz val="7"/>
        <rFont val="Arial"/>
        <family val="2"/>
      </rPr>
      <t>cm</t>
    </r>
    <r>
      <rPr>
        <sz val="7"/>
        <rFont val="Arial"/>
        <family val="2"/>
      </rPr>
      <t>)   in massive, brittle rock</t>
    </r>
  </si>
  <si>
    <t>Ht &lt; 10m</t>
  </si>
  <si>
    <t>Ht &gt; 20m</t>
  </si>
  <si>
    <t xml:space="preserve"> = SRF</t>
  </si>
  <si>
    <t xml:space="preserve"> = SL</t>
  </si>
  <si>
    <r>
      <t>SL</t>
    </r>
    <r>
      <rPr>
        <vertAlign val="subscript"/>
        <sz val="8"/>
        <rFont val="Arial"/>
        <family val="2"/>
      </rPr>
      <t>wall</t>
    </r>
    <r>
      <rPr>
        <sz val="8"/>
        <rFont val="Arial"/>
        <family val="2"/>
      </rPr>
      <t xml:space="preserve"> =</t>
    </r>
  </si>
  <si>
    <r>
      <t>SRF</t>
    </r>
    <r>
      <rPr>
        <vertAlign val="subscript"/>
        <sz val="8"/>
        <rFont val="Arial"/>
        <family val="2"/>
      </rPr>
      <t>wall</t>
    </r>
    <r>
      <rPr>
        <sz val="8"/>
        <rFont val="Arial"/>
        <family val="2"/>
      </rPr>
      <t xml:space="preserve"> =</t>
    </r>
  </si>
  <si>
    <t>interim value</t>
  </si>
  <si>
    <r>
      <t>Q</t>
    </r>
    <r>
      <rPr>
        <vertAlign val="subscript"/>
        <sz val="8"/>
        <rFont val="Arial"/>
        <family val="2"/>
      </rPr>
      <t>wall</t>
    </r>
    <r>
      <rPr>
        <sz val="8"/>
        <rFont val="Arial"/>
        <family val="2"/>
      </rPr>
      <t xml:space="preserve"> =</t>
    </r>
  </si>
  <si>
    <t>The rating values for 'IL' are based on principles in the GSI system</t>
  </si>
  <si>
    <r>
      <t xml:space="preserve">Inflow of water to tunnel                </t>
    </r>
    <r>
      <rPr>
        <b/>
        <sz val="7"/>
        <rFont val="Arial"/>
        <family val="2"/>
      </rPr>
      <t xml:space="preserve"> </t>
    </r>
    <r>
      <rPr>
        <sz val="7"/>
        <rFont val="Arial"/>
        <family val="2"/>
      </rPr>
      <t xml:space="preserve"> and/</t>
    </r>
    <r>
      <rPr>
        <b/>
        <sz val="7"/>
        <rFont val="Arial"/>
        <family val="2"/>
      </rPr>
      <t xml:space="preserve">or </t>
    </r>
  </si>
  <si>
    <t>strike</t>
  </si>
  <si>
    <t>dip</t>
  </si>
  <si>
    <t>all</t>
  </si>
  <si>
    <t>≤</t>
  </si>
  <si>
    <t>Answer:</t>
  </si>
  <si>
    <t>in one wall</t>
  </si>
  <si>
    <t>Range of SRF in Q system</t>
  </si>
  <si>
    <r>
      <t xml:space="preserve">strike ( </t>
    </r>
    <r>
      <rPr>
        <vertAlign val="superscript"/>
        <sz val="7"/>
        <rFont val="Arial"/>
        <family val="2"/>
      </rPr>
      <t>o</t>
    </r>
    <r>
      <rPr>
        <sz val="7"/>
        <rFont val="Arial"/>
        <family val="2"/>
      </rPr>
      <t>)</t>
    </r>
  </si>
  <si>
    <t>m³ or larger</t>
  </si>
  <si>
    <t>Ht = 10 -20m</t>
  </si>
  <si>
    <t>Adjustment used for influence of high stresses in walls</t>
  </si>
  <si>
    <t>For wall height (Ht)</t>
  </si>
  <si>
    <t>Jw  in Q system</t>
  </si>
  <si>
    <t>Values of  RQD  and  Vb  will automatically be calculated if only input of  Jv  is given.</t>
  </si>
  <si>
    <t>When value for joint spacing (B4) is not given, it is automatically calculated from the block diameter (Db)</t>
  </si>
  <si>
    <t>Estimated Jn, based on Vb, when input for C2 is not given</t>
  </si>
  <si>
    <t>Number of JOINT SETS used</t>
  </si>
  <si>
    <r>
      <t xml:space="preserve">NOTE: blue </t>
    </r>
    <r>
      <rPr>
        <b/>
        <i/>
        <u/>
        <sz val="9"/>
        <color indexed="12"/>
        <rFont val="Arial"/>
        <family val="2"/>
      </rPr>
      <t>values</t>
    </r>
    <r>
      <rPr>
        <b/>
        <i/>
        <sz val="9"/>
        <color indexed="12"/>
        <rFont val="Arial"/>
        <family val="2"/>
      </rPr>
      <t xml:space="preserve"> can be adjusted</t>
    </r>
  </si>
  <si>
    <t>Input:</t>
  </si>
  <si>
    <r>
      <t xml:space="preserve">dip ( </t>
    </r>
    <r>
      <rPr>
        <vertAlign val="superscript"/>
        <sz val="7"/>
        <rFont val="Arial"/>
        <family val="2"/>
      </rPr>
      <t>o</t>
    </r>
    <r>
      <rPr>
        <sz val="7"/>
        <rFont val="Arial"/>
        <family val="2"/>
      </rPr>
      <t>)</t>
    </r>
  </si>
  <si>
    <r>
      <t xml:space="preserve">strike ( </t>
    </r>
    <r>
      <rPr>
        <vertAlign val="superscript"/>
        <sz val="7"/>
        <color indexed="8"/>
        <rFont val="Arial"/>
        <family val="2"/>
      </rPr>
      <t>o</t>
    </r>
    <r>
      <rPr>
        <sz val="7"/>
        <color indexed="8"/>
        <rFont val="Arial"/>
        <family val="2"/>
      </rPr>
      <t>)</t>
    </r>
  </si>
  <si>
    <r>
      <t xml:space="preserve">dip ( </t>
    </r>
    <r>
      <rPr>
        <vertAlign val="superscript"/>
        <sz val="7"/>
        <color indexed="8"/>
        <rFont val="Arial"/>
        <family val="2"/>
      </rPr>
      <t>o</t>
    </r>
    <r>
      <rPr>
        <sz val="7"/>
        <color indexed="8"/>
        <rFont val="Arial"/>
        <family val="2"/>
      </rPr>
      <t>)</t>
    </r>
  </si>
  <si>
    <t>Em =</t>
  </si>
  <si>
    <t>Deformation modulus</t>
  </si>
  <si>
    <t>GPa (for Q &gt; 1)</t>
  </si>
  <si>
    <t>*) Wall contact before 10cm shear;   **) No wall contact when sheared;</t>
  </si>
  <si>
    <r>
      <t>Crack</t>
    </r>
    <r>
      <rPr>
        <vertAlign val="superscript"/>
        <sz val="7"/>
        <rFont val="Arial"/>
        <family val="2"/>
      </rPr>
      <t xml:space="preserve"> </t>
    </r>
    <r>
      <rPr>
        <sz val="7"/>
        <rFont val="Arial"/>
        <family val="2"/>
      </rPr>
      <t>(irregular break)</t>
    </r>
  </si>
  <si>
    <r>
      <t xml:space="preserve">10 – 30m </t>
    </r>
    <r>
      <rPr>
        <vertAlign val="superscript"/>
        <sz val="7"/>
        <rFont val="Arial"/>
        <family val="2"/>
      </rPr>
      <t>1)</t>
    </r>
  </si>
  <si>
    <r>
      <t xml:space="preserve">&gt; 10m </t>
    </r>
    <r>
      <rPr>
        <vertAlign val="superscript"/>
        <sz val="7"/>
        <rFont val="Arial"/>
        <family val="2"/>
      </rPr>
      <t>2)</t>
    </r>
  </si>
  <si>
    <t>Filled joint, or seam</t>
  </si>
  <si>
    <r>
      <t xml:space="preserve">"Crack" has been introduced in this spreadsheet;  </t>
    </r>
    <r>
      <rPr>
        <i/>
        <vertAlign val="superscript"/>
        <sz val="7"/>
        <rFont val="Arial"/>
        <family val="2"/>
      </rPr>
      <t xml:space="preserve">1) </t>
    </r>
    <r>
      <rPr>
        <i/>
        <sz val="7"/>
        <rFont val="Arial"/>
        <family val="2"/>
      </rPr>
      <t xml:space="preserve">Length 10 – 20 m  is applied in the RMR;  </t>
    </r>
    <r>
      <rPr>
        <i/>
        <vertAlign val="superscript"/>
        <sz val="7"/>
        <rFont val="Arial"/>
        <family val="2"/>
      </rPr>
      <t>2)</t>
    </r>
    <r>
      <rPr>
        <i/>
        <sz val="7"/>
        <rFont val="Arial"/>
        <family val="2"/>
      </rPr>
      <t xml:space="preserve"> Used in cases where most joints in the location are filled</t>
    </r>
  </si>
  <si>
    <t>Extremely large</t>
  </si>
  <si>
    <t>Vb</t>
  </si>
  <si>
    <t>Extremely small</t>
  </si>
  <si>
    <t>Classification of block size (in m3):</t>
  </si>
  <si>
    <t>Closed</t>
  </si>
  <si>
    <r>
      <t>Strike (</t>
    </r>
    <r>
      <rPr>
        <vertAlign val="superscript"/>
        <sz val="8"/>
        <rFont val="Arial"/>
        <family val="2"/>
      </rPr>
      <t>o</t>
    </r>
    <r>
      <rPr>
        <sz val="8"/>
        <rFont val="Arial"/>
        <family val="2"/>
      </rPr>
      <t>) =</t>
    </r>
  </si>
  <si>
    <r>
      <t>Dip (</t>
    </r>
    <r>
      <rPr>
        <vertAlign val="superscript"/>
        <sz val="8"/>
        <rFont val="Arial"/>
        <family val="2"/>
      </rPr>
      <t>o</t>
    </r>
    <r>
      <rPr>
        <sz val="8"/>
        <rFont val="Arial"/>
        <family val="2"/>
      </rPr>
      <t>) =</t>
    </r>
  </si>
  <si>
    <t>In one WALL</t>
  </si>
  <si>
    <t>In opposite WALL</t>
  </si>
  <si>
    <t>Weathered joint wall (no loose material)</t>
  </si>
  <si>
    <t>GPa (old eq. RMi )</t>
  </si>
  <si>
    <t>GPa (new eq. RMi)</t>
  </si>
  <si>
    <t>Em (max) =</t>
  </si>
  <si>
    <r>
      <t>GPa (Em = 0.2*</t>
    </r>
    <r>
      <rPr>
        <sz val="8"/>
        <rFont val="Symbol"/>
        <family val="1"/>
        <charset val="2"/>
      </rPr>
      <t>s</t>
    </r>
    <r>
      <rPr>
        <vertAlign val="subscript"/>
        <sz val="8"/>
        <rFont val="Arial"/>
        <family val="2"/>
      </rPr>
      <t>c</t>
    </r>
    <r>
      <rPr>
        <sz val="8"/>
        <rFont val="Arial"/>
        <family val="2"/>
      </rPr>
      <t>)</t>
    </r>
  </si>
  <si>
    <t>0.1 – 1mm</t>
  </si>
  <si>
    <t>1 - 5mm</t>
  </si>
  <si>
    <t>&gt; 5mm</t>
  </si>
  <si>
    <t>Open</t>
  </si>
  <si>
    <t>Unweathered, fresh joint walls  //no filling</t>
  </si>
  <si>
    <t>What is favourable or unfavourable orientation?</t>
  </si>
  <si>
    <r>
      <t xml:space="preserve">Joint wall smoothness </t>
    </r>
    <r>
      <rPr>
        <sz val="8"/>
        <color indexed="8"/>
        <rFont val="Arial"/>
        <family val="2"/>
      </rPr>
      <t xml:space="preserve">(small scale roughness)  </t>
    </r>
    <r>
      <rPr>
        <sz val="7"/>
        <color indexed="8"/>
        <rFont val="Arial"/>
        <family val="2"/>
      </rPr>
      <t>(called 'roughness' in the RMR)</t>
    </r>
  </si>
  <si>
    <t>&gt; 60</t>
  </si>
  <si>
    <t>Sa =</t>
  </si>
  <si>
    <t>e =</t>
  </si>
  <si>
    <t>3 - 1</t>
  </si>
  <si>
    <t>Single weakness zone with clay</t>
  </si>
  <si>
    <t>Multiple clayfree shear zones</t>
  </si>
  <si>
    <t>Loose, open crushed zones</t>
  </si>
  <si>
    <t>Multiple, complex weakness zones</t>
  </si>
  <si>
    <t>in the opposite wall</t>
  </si>
  <si>
    <t>Joint size factor  jL =</t>
  </si>
  <si>
    <t>Joint condition factor  jC =</t>
  </si>
  <si>
    <r>
      <t xml:space="preserve">Block shape factor  </t>
    </r>
    <r>
      <rPr>
        <sz val="8"/>
        <rFont val="Symbol"/>
        <family val="1"/>
        <charset val="2"/>
      </rPr>
      <t>b</t>
    </r>
    <r>
      <rPr>
        <sz val="8"/>
        <rFont val="Arial"/>
        <family val="2"/>
      </rPr>
      <t xml:space="preserve"> =</t>
    </r>
  </si>
  <si>
    <t>Block volume  Vb =</t>
  </si>
  <si>
    <t>Block diameter  Db =</t>
  </si>
  <si>
    <t>Jointing parameter  JP =</t>
  </si>
  <si>
    <r>
      <t>Massivity factor  f</t>
    </r>
    <r>
      <rPr>
        <vertAlign val="subscript"/>
        <sz val="8"/>
        <rFont val="Symbol"/>
        <family val="1"/>
        <charset val="2"/>
      </rPr>
      <t>s</t>
    </r>
    <r>
      <rPr>
        <sz val="8"/>
        <rFont val="Arial"/>
        <family val="2"/>
      </rPr>
      <t xml:space="preserve"> =</t>
    </r>
  </si>
  <si>
    <t>Interlocking//compactness  IL =</t>
  </si>
  <si>
    <t>Ground condition factor</t>
  </si>
  <si>
    <t>Deformation modulus  Em =</t>
  </si>
  <si>
    <r>
      <t>Gc</t>
    </r>
    <r>
      <rPr>
        <sz val="8"/>
        <rFont val="Arial"/>
        <family val="2"/>
      </rPr>
      <t xml:space="preserve"> =</t>
    </r>
  </si>
  <si>
    <r>
      <t>Co</t>
    </r>
    <r>
      <rPr>
        <vertAlign val="subscript"/>
        <sz val="8"/>
        <rFont val="Arial"/>
        <family val="2"/>
      </rPr>
      <t>z</t>
    </r>
    <r>
      <rPr>
        <sz val="8"/>
        <rFont val="Arial"/>
        <family val="2"/>
      </rPr>
      <t xml:space="preserve"> =</t>
    </r>
  </si>
  <si>
    <t>adjusted for walls &gt; 10m</t>
  </si>
  <si>
    <r>
      <rPr>
        <sz val="8"/>
        <rFont val="Arial"/>
        <family val="2"/>
      </rPr>
      <t xml:space="preserve">Infilling+weathering </t>
    </r>
    <r>
      <rPr>
        <sz val="7"/>
        <rFont val="Arial"/>
        <family val="2"/>
      </rPr>
      <t xml:space="preserve"> used =</t>
    </r>
  </si>
  <si>
    <t/>
  </si>
  <si>
    <t xml:space="preserve"> Rock strength  A1 =</t>
  </si>
  <si>
    <t>Joint length, A4a =</t>
  </si>
  <si>
    <t>Joint separation, A4b =</t>
  </si>
  <si>
    <t>Joint roughness, A4c =</t>
  </si>
  <si>
    <t>Joint weathering A4e =</t>
  </si>
  <si>
    <t>CLASSIFICATIONS USED</t>
  </si>
  <si>
    <t>Tunnel span (m)</t>
  </si>
  <si>
    <t>Wall height (m)</t>
  </si>
  <si>
    <t>GPa</t>
  </si>
  <si>
    <t>from SRF in blocky ground</t>
  </si>
  <si>
    <t>from SRF in bursting</t>
  </si>
  <si>
    <t>from SRF for squeezing</t>
  </si>
  <si>
    <t>from SRF of zone</t>
  </si>
  <si>
    <t xml:space="preserve">I N T E R I M       C A L C U L A T I O N S </t>
  </si>
  <si>
    <t>75 - 90</t>
  </si>
  <si>
    <t>90 - 100</t>
  </si>
  <si>
    <t>&lt; 10</t>
  </si>
  <si>
    <t>10 - 25</t>
  </si>
  <si>
    <t>1 - 5 MPa</t>
  </si>
  <si>
    <r>
      <rPr>
        <b/>
        <sz val="7"/>
        <rFont val="Arial"/>
        <family val="2"/>
      </rPr>
      <t>Vb</t>
    </r>
    <r>
      <rPr>
        <sz val="7"/>
        <rFont val="Arial"/>
        <family val="2"/>
      </rPr>
      <t xml:space="preserve"> (in m3) =</t>
    </r>
  </si>
  <si>
    <t>Spacing (m)</t>
  </si>
  <si>
    <t>Medium</t>
  </si>
  <si>
    <t>Large</t>
  </si>
  <si>
    <t>Very large</t>
  </si>
  <si>
    <t>Small</t>
  </si>
  <si>
    <t>Very small</t>
  </si>
  <si>
    <t>Extremely dense</t>
  </si>
  <si>
    <t xml:space="preserve">RQD and joint spacing (Sa) will be calculated from Vb if only input of Vb is given. </t>
  </si>
  <si>
    <t xml:space="preserve">Input for Jv may be used instead of  Vb and/or RQD </t>
  </si>
  <si>
    <t>GPa (for RMR &gt; 50)</t>
  </si>
  <si>
    <t>GPa (for RMR &lt; 50)</t>
  </si>
  <si>
    <t>thickness</t>
  </si>
  <si>
    <t>&lt;  1MPa</t>
  </si>
  <si>
    <t>5 - 25MPa</t>
  </si>
  <si>
    <t>25 - 50MPa</t>
  </si>
  <si>
    <t>&gt; 250MPa</t>
  </si>
  <si>
    <t>&lt; 1cm3</t>
  </si>
  <si>
    <t>&lt; 0.06m</t>
  </si>
  <si>
    <t>0.06 - 0.2m</t>
  </si>
  <si>
    <t>0.2 - 0.6 m</t>
  </si>
  <si>
    <t>0.6-2m</t>
  </si>
  <si>
    <t>&gt; 2 m</t>
  </si>
  <si>
    <t>random only</t>
  </si>
  <si>
    <t>1 set + random</t>
  </si>
  <si>
    <t>3 joint sets</t>
  </si>
  <si>
    <t>4 joint sets</t>
  </si>
  <si>
    <t>crushed</t>
  </si>
  <si>
    <t>very rough</t>
  </si>
  <si>
    <t>rough</t>
  </si>
  <si>
    <t>slightly rough</t>
  </si>
  <si>
    <t>smooth</t>
  </si>
  <si>
    <t>polished</t>
  </si>
  <si>
    <t>slickensided</t>
  </si>
  <si>
    <t>filled joint (seam)</t>
  </si>
  <si>
    <t>planar</t>
  </si>
  <si>
    <t>slightly undul.</t>
  </si>
  <si>
    <t>strongly undul.</t>
  </si>
  <si>
    <t>discontinuous</t>
  </si>
  <si>
    <t>healed</t>
  </si>
  <si>
    <t>fresh</t>
  </si>
  <si>
    <t>weathered</t>
  </si>
  <si>
    <t>clay coating</t>
  </si>
  <si>
    <t>swelling clay</t>
  </si>
  <si>
    <t>soft clay</t>
  </si>
  <si>
    <t>hard clay</t>
  </si>
  <si>
    <t>fissure</t>
  </si>
  <si>
    <t>crack</t>
  </si>
  <si>
    <t>short joint</t>
  </si>
  <si>
    <t>long joint</t>
  </si>
  <si>
    <t>seam (filled joint)</t>
  </si>
  <si>
    <t>5 - 25mm</t>
  </si>
  <si>
    <t>&lt; 0.1mm</t>
  </si>
  <si>
    <t>favourable</t>
  </si>
  <si>
    <t>unfavourable</t>
  </si>
  <si>
    <t>gushing</t>
  </si>
  <si>
    <t>dripping</t>
  </si>
  <si>
    <t>wet</t>
  </si>
  <si>
    <t>slight burst</t>
  </si>
  <si>
    <t>strong burst</t>
  </si>
  <si>
    <t>simple &gt;50m</t>
  </si>
  <si>
    <t>clayzone &gt;50m</t>
  </si>
  <si>
    <t>clayzone &lt;50m</t>
  </si>
  <si>
    <t>slightly weath.</t>
  </si>
  <si>
    <t>sand/silt coat.</t>
  </si>
  <si>
    <t>mod. joint</t>
  </si>
  <si>
    <t>0.1 - 1mm</t>
  </si>
  <si>
    <t>2 sets + rand.</t>
  </si>
  <si>
    <t>very unfavour.</t>
  </si>
  <si>
    <t>simple &lt;50m</t>
  </si>
  <si>
    <t>freq. shears</t>
  </si>
  <si>
    <t>Date:</t>
  </si>
  <si>
    <t>in wall</t>
  </si>
  <si>
    <t>in opposite wall</t>
  </si>
  <si>
    <t>Rock Mass index   RMi =</t>
  </si>
  <si>
    <r>
      <t>strike (</t>
    </r>
    <r>
      <rPr>
        <vertAlign val="superscript"/>
        <sz val="6"/>
        <color indexed="8"/>
        <rFont val="Arial"/>
        <family val="2"/>
      </rPr>
      <t>o</t>
    </r>
    <r>
      <rPr>
        <sz val="6"/>
        <color indexed="8"/>
        <rFont val="Arial"/>
        <family val="2"/>
      </rPr>
      <t>)</t>
    </r>
  </si>
  <si>
    <r>
      <t>dip (</t>
    </r>
    <r>
      <rPr>
        <vertAlign val="superscript"/>
        <sz val="6"/>
        <color indexed="8"/>
        <rFont val="Arial"/>
        <family val="2"/>
      </rPr>
      <t>o</t>
    </r>
    <r>
      <rPr>
        <sz val="6"/>
        <color indexed="8"/>
        <rFont val="Arial"/>
        <family val="2"/>
      </rPr>
      <t>)</t>
    </r>
  </si>
  <si>
    <t>2 joint sets</t>
  </si>
  <si>
    <t>mod. burst</t>
  </si>
  <si>
    <t>UCS =</t>
  </si>
  <si>
    <t>1 - 100cm3</t>
  </si>
  <si>
    <t>0.1 - 1dm3</t>
  </si>
  <si>
    <t>1 - 15dm3</t>
  </si>
  <si>
    <t>15 - 125dm3</t>
  </si>
  <si>
    <t>0.125- 1m3</t>
  </si>
  <si>
    <t>1 - 8m3</t>
  </si>
  <si>
    <t>8 - 50m3</t>
  </si>
  <si>
    <t>&gt; 50m3</t>
  </si>
  <si>
    <t>Exceptionally large</t>
  </si>
  <si>
    <t>60 - 45</t>
  </si>
  <si>
    <t>45 - 30</t>
  </si>
  <si>
    <t>30 - 20</t>
  </si>
  <si>
    <t>20 - 10</t>
  </si>
  <si>
    <t>10 - 5</t>
  </si>
  <si>
    <t>5  - 3</t>
  </si>
  <si>
    <t>low stress</t>
  </si>
  <si>
    <t>moderate stress</t>
  </si>
  <si>
    <t>high stress</t>
  </si>
  <si>
    <t>50 - 75MPa</t>
  </si>
  <si>
    <t>100</t>
  </si>
  <si>
    <t>60 - 75</t>
  </si>
  <si>
    <t>50 - 60</t>
  </si>
  <si>
    <t>40 - 50</t>
  </si>
  <si>
    <t>25 - 40</t>
  </si>
  <si>
    <t>mod. undul.</t>
  </si>
  <si>
    <r>
      <t xml:space="preserve">Not included, except in Qc = Q </t>
    </r>
    <r>
      <rPr>
        <sz val="6"/>
        <color indexed="8"/>
        <rFont val="Arial"/>
        <family val="2"/>
      </rPr>
      <t>x</t>
    </r>
    <r>
      <rPr>
        <sz val="7"/>
        <color indexed="8"/>
        <rFont val="Arial"/>
        <family val="2"/>
      </rPr>
      <t xml:space="preserve"> </t>
    </r>
    <r>
      <rPr>
        <sz val="9"/>
        <color indexed="8"/>
        <rFont val="Symbol"/>
        <family val="1"/>
        <charset val="2"/>
      </rPr>
      <t>s</t>
    </r>
    <r>
      <rPr>
        <vertAlign val="subscript"/>
        <sz val="7"/>
        <color indexed="8"/>
        <rFont val="Arial"/>
        <family val="2"/>
      </rPr>
      <t>c</t>
    </r>
    <r>
      <rPr>
        <sz val="7"/>
        <color indexed="8"/>
        <rFont val="Arial"/>
        <family val="2"/>
      </rPr>
      <t xml:space="preserve"> /100</t>
    </r>
  </si>
  <si>
    <r>
      <t>Stresses below rock mass strength                        (</t>
    </r>
    <r>
      <rPr>
        <sz val="7"/>
        <rFont val="Symbol"/>
        <family val="1"/>
        <charset val="2"/>
      </rPr>
      <t>s</t>
    </r>
    <r>
      <rPr>
        <vertAlign val="subscript"/>
        <sz val="7"/>
        <rFont val="Symbol"/>
        <family val="1"/>
        <charset val="2"/>
      </rPr>
      <t>q</t>
    </r>
    <r>
      <rPr>
        <sz val="7"/>
        <rFont val="Symbol"/>
        <family val="1"/>
        <charset val="2"/>
      </rPr>
      <t xml:space="preserve"> </t>
    </r>
    <r>
      <rPr>
        <sz val="7"/>
        <rFont val="Arial"/>
        <family val="2"/>
      </rPr>
      <t xml:space="preserve">&lt; </t>
    </r>
    <r>
      <rPr>
        <sz val="7"/>
        <rFont val="Symbol"/>
        <family val="1"/>
        <charset val="2"/>
      </rPr>
      <t>s</t>
    </r>
    <r>
      <rPr>
        <vertAlign val="subscript"/>
        <sz val="7"/>
        <rFont val="Arial"/>
        <family val="2"/>
      </rPr>
      <t>cm</t>
    </r>
    <r>
      <rPr>
        <sz val="7"/>
        <rFont val="Arial"/>
        <family val="2"/>
      </rPr>
      <t>)</t>
    </r>
  </si>
  <si>
    <t>Sta.:</t>
  </si>
  <si>
    <r>
      <t>Sr</t>
    </r>
    <r>
      <rPr>
        <vertAlign val="subscript"/>
        <sz val="8"/>
        <color indexed="8"/>
        <rFont val="Arial"/>
        <family val="2"/>
      </rPr>
      <t>wall</t>
    </r>
    <r>
      <rPr>
        <sz val="8"/>
        <color indexed="8"/>
        <rFont val="Arial"/>
        <family val="2"/>
      </rPr>
      <t xml:space="preserve"> =</t>
    </r>
  </si>
  <si>
    <t>sand /silt</t>
  </si>
  <si>
    <t>Q-value including UCS</t>
  </si>
  <si>
    <t xml:space="preserve">Limit of RMi: </t>
  </si>
  <si>
    <r>
      <t xml:space="preserve">NOTE: </t>
    </r>
    <r>
      <rPr>
        <b/>
        <i/>
        <sz val="8"/>
        <color rgb="FF0000CC"/>
        <rFont val="Arial"/>
        <family val="2"/>
      </rPr>
      <t>blue values</t>
    </r>
    <r>
      <rPr>
        <b/>
        <i/>
        <sz val="8"/>
        <rFont val="Arial"/>
        <family val="2"/>
      </rPr>
      <t xml:space="preserve"> can be adjusted</t>
    </r>
  </si>
  <si>
    <t>very short joint</t>
  </si>
  <si>
    <t>none</t>
  </si>
  <si>
    <t>complex zone</t>
  </si>
  <si>
    <t>crushed zone</t>
  </si>
  <si>
    <t>3. RMi calculations in weakness zones</t>
  </si>
  <si>
    <t>Ground class</t>
  </si>
  <si>
    <r>
      <t xml:space="preserve">Excavation </t>
    </r>
    <r>
      <rPr>
        <sz val="9"/>
        <rFont val="Arial"/>
        <family val="2"/>
      </rPr>
      <t>(drill and blast)</t>
    </r>
  </si>
  <si>
    <t>Rock support</t>
  </si>
  <si>
    <r>
      <t>Rock bolts</t>
    </r>
    <r>
      <rPr>
        <sz val="9"/>
        <rFont val="Arial"/>
        <family val="2"/>
      </rPr>
      <t xml:space="preserve"> </t>
    </r>
  </si>
  <si>
    <t>Shotcrete</t>
  </si>
  <si>
    <t>Steel sets</t>
  </si>
  <si>
    <t>(20 mm diam., fully bonded)</t>
  </si>
  <si>
    <t>1.Very good rock</t>
  </si>
  <si>
    <t>Full face:</t>
  </si>
  <si>
    <t>Generally no support required except for occasional spot bolting</t>
  </si>
  <si>
    <t>RMR: 81-100</t>
  </si>
  <si>
    <t>3m advance</t>
  </si>
  <si>
    <t>2. Good rock</t>
  </si>
  <si>
    <t>Locally bolts in crown, 3m long, spaced 2.5m with occasional wire mesh</t>
  </si>
  <si>
    <t>50mm  in crown where required</t>
  </si>
  <si>
    <t>RMR: 61-80</t>
  </si>
  <si>
    <t>1.0 - 1.5m advance;</t>
  </si>
  <si>
    <t>Complete support 20 m from face</t>
  </si>
  <si>
    <t>3. Fair rock</t>
  </si>
  <si>
    <t>Top heading and bench:</t>
  </si>
  <si>
    <t>Systematic bolts 4m long, spaced 1.5 - 2m in crown and walls with wire mesh in crown</t>
  </si>
  <si>
    <t>50 - 100mm  in crown, and 30mm in sides</t>
  </si>
  <si>
    <t>RMR: 41-60</t>
  </si>
  <si>
    <t>1.5 - 3m advance in top heading;</t>
  </si>
  <si>
    <t>Commence support after each blast;</t>
  </si>
  <si>
    <t>Commence support 10 m from face</t>
  </si>
  <si>
    <t>4. Poor rock</t>
  </si>
  <si>
    <t>Systematic bolts 4 - 5m long, spaced 1 - 1.5m in crown and walls with wire mesh</t>
  </si>
  <si>
    <t>100 - 150mm  in crown and 100mm in sides</t>
  </si>
  <si>
    <t>Light ribs spaced 1.5m where required</t>
  </si>
  <si>
    <t>RMR: 21-40</t>
  </si>
  <si>
    <t>1.0 - 1.5m advance in top heading;</t>
  </si>
  <si>
    <t>Install support concurrently with excavation - 10 m from face</t>
  </si>
  <si>
    <t>5. Very poor rock</t>
  </si>
  <si>
    <t>Multiple drifts:</t>
  </si>
  <si>
    <t>Systematic bolts 5 - 6m long, spaced 1 - 1.5m in crown and walls with wire mesh. Bolt invert</t>
  </si>
  <si>
    <t xml:space="preserve">150 - 200mm  in crown, 150mm in sides, and 50mm on face </t>
  </si>
  <si>
    <t>Medium to heavy ribs spaced 0.75m with steel lagging and forepoling if required. Close invert</t>
  </si>
  <si>
    <t>RMR &lt; 21</t>
  </si>
  <si>
    <t>0.5 - 1.5m advance in top heading;</t>
  </si>
  <si>
    <t>Install support concurrently with excavation; shotcrete as soon as possible after blasting</t>
  </si>
  <si>
    <r>
      <t>RMR</t>
    </r>
    <r>
      <rPr>
        <vertAlign val="subscript"/>
        <sz val="8"/>
        <rFont val="Arial"/>
        <family val="2"/>
      </rPr>
      <t>1989</t>
    </r>
  </si>
  <si>
    <r>
      <t>RMR</t>
    </r>
    <r>
      <rPr>
        <vertAlign val="subscript"/>
        <sz val="8"/>
        <color indexed="8"/>
        <rFont val="Arial"/>
        <family val="2"/>
      </rPr>
      <t>1989</t>
    </r>
  </si>
  <si>
    <r>
      <t>RMR</t>
    </r>
    <r>
      <rPr>
        <vertAlign val="subscript"/>
        <sz val="9"/>
        <rFont val="Arial"/>
        <family val="2"/>
      </rPr>
      <t>1989</t>
    </r>
  </si>
  <si>
    <t>Locality:</t>
  </si>
  <si>
    <t>Observer:</t>
  </si>
  <si>
    <r>
      <t xml:space="preserve">&gt; 5mm </t>
    </r>
    <r>
      <rPr>
        <b/>
        <sz val="6"/>
        <rFont val="Calibri"/>
        <family val="2"/>
      </rPr>
      <t>→</t>
    </r>
  </si>
  <si>
    <r>
      <t xml:space="preserve">&lt; 5mm </t>
    </r>
    <r>
      <rPr>
        <b/>
        <sz val="6"/>
        <rFont val="Calibri"/>
        <family val="2"/>
      </rPr>
      <t>→</t>
    </r>
  </si>
  <si>
    <t>Comparisons of RQD, Vb and Jv</t>
  </si>
  <si>
    <t>moderate</t>
  </si>
  <si>
    <t xml:space="preserve">complete </t>
  </si>
  <si>
    <t>Project:</t>
  </si>
  <si>
    <t>Rock weathering</t>
  </si>
  <si>
    <r>
      <t>Classification of joint or zone orientations (for strikes 0 - 90</t>
    </r>
    <r>
      <rPr>
        <vertAlign val="superscript"/>
        <sz val="9"/>
        <rFont val="Arial"/>
        <family val="2"/>
      </rPr>
      <t>o</t>
    </r>
    <r>
      <rPr>
        <sz val="9"/>
        <rFont val="Arial"/>
        <family val="2"/>
      </rPr>
      <t>)</t>
    </r>
  </si>
  <si>
    <t>Unweathered / fresh</t>
  </si>
  <si>
    <t>Weathering extends throughout rock mass and the rock material is partly friable. Rock has no lustre. All material except quartz is discoloured. Rock can be excavated with geologist's pick.</t>
  </si>
  <si>
    <t>Residual soil</t>
  </si>
  <si>
    <t xml:space="preserve">Soil material with complete disintegration of texture, structure and mineralogy of the parent rock. </t>
  </si>
  <si>
    <t>A2</t>
  </si>
  <si>
    <r>
      <t xml:space="preserve">NOTE!  GW  is related to groundwater influence on rockmass stability.  </t>
    </r>
    <r>
      <rPr>
        <i/>
        <vertAlign val="superscript"/>
        <sz val="7"/>
        <rFont val="Arial"/>
        <family val="2"/>
      </rPr>
      <t>1)</t>
    </r>
    <r>
      <rPr>
        <i/>
        <sz val="7"/>
        <rFont val="Arial"/>
        <family val="2"/>
      </rPr>
      <t xml:space="preserve"> Water pressure used in Q-system;  </t>
    </r>
    <r>
      <rPr>
        <i/>
        <vertAlign val="superscript"/>
        <sz val="7"/>
        <rFont val="Arial"/>
        <family val="2"/>
      </rPr>
      <t>2)</t>
    </r>
    <r>
      <rPr>
        <i/>
        <sz val="7"/>
        <rFont val="Arial"/>
        <family val="2"/>
      </rPr>
      <t xml:space="preserve"> Inflow per 10m tunnel as used in RMR</t>
    </r>
  </si>
  <si>
    <t>Slightly weathered</t>
  </si>
  <si>
    <t>Moderately weathered</t>
  </si>
  <si>
    <t>Highly weathered</t>
  </si>
  <si>
    <t>Completely weathered</t>
  </si>
  <si>
    <t>Rock is totally discoloured and decomposed and in a friable condition with only fragments of the rock texture and structure preserved. The external appearance is that of a soil.</t>
  </si>
  <si>
    <t>Slight discoloration extends through the greater part of the rock mass. The rock is not friable (except in the case of poorly cemented sedimentary rocks). Discontinuities are stained and/or contain a filling of altered materials.</t>
  </si>
  <si>
    <t>Penetrative weathering developed on open disco¬ntinuity surfaces but only slight weathering of rock material. Discontinuities are discoloured and discoloration can extend into rock up to a few mm from discontinuity surface.</t>
  </si>
  <si>
    <t>No visible signs of weathering. Rock fresh, crystals bright. Few discontinuities may show slight staining.</t>
  </si>
  <si>
    <r>
      <t>in cm</t>
    </r>
    <r>
      <rPr>
        <vertAlign val="superscript"/>
        <sz val="7"/>
        <color indexed="8"/>
        <rFont val="Arial"/>
        <family val="2"/>
      </rPr>
      <t>3</t>
    </r>
  </si>
  <si>
    <r>
      <t>in dm</t>
    </r>
    <r>
      <rPr>
        <vertAlign val="superscript"/>
        <sz val="7"/>
        <color indexed="8"/>
        <rFont val="Arial"/>
        <family val="2"/>
      </rPr>
      <t>3</t>
    </r>
  </si>
  <si>
    <r>
      <t>in m</t>
    </r>
    <r>
      <rPr>
        <vertAlign val="superscript"/>
        <sz val="7"/>
        <color indexed="8"/>
        <rFont val="Arial"/>
        <family val="2"/>
      </rPr>
      <t>3</t>
    </r>
  </si>
  <si>
    <r>
      <t>water pressure (p</t>
    </r>
    <r>
      <rPr>
        <vertAlign val="subscript"/>
        <sz val="7"/>
        <rFont val="Arial"/>
        <family val="2"/>
      </rPr>
      <t>w</t>
    </r>
    <r>
      <rPr>
        <sz val="7"/>
        <rFont val="Arial"/>
        <family val="2"/>
      </rPr>
      <t>)</t>
    </r>
    <r>
      <rPr>
        <vertAlign val="superscript"/>
        <sz val="7"/>
        <rFont val="Arial"/>
        <family val="2"/>
      </rPr>
      <t>1)</t>
    </r>
  </si>
  <si>
    <t>high</t>
  </si>
  <si>
    <t>slight</t>
  </si>
  <si>
    <t>none/fresh</t>
  </si>
  <si>
    <r>
      <t xml:space="preserve">The RMi rock support chart for overstressed rock                                        </t>
    </r>
    <r>
      <rPr>
        <b/>
        <sz val="10"/>
        <rFont val="Arial"/>
        <family val="2"/>
      </rPr>
      <t>for drill &amp; blast tunnels</t>
    </r>
  </si>
  <si>
    <r>
      <t xml:space="preserve">The RMi rock support chart for jointed rock and weakness zones                  </t>
    </r>
    <r>
      <rPr>
        <b/>
        <sz val="10"/>
        <rFont val="Arial"/>
        <family val="2"/>
      </rPr>
      <t xml:space="preserve">      for drill &amp; blast tunnels</t>
    </r>
  </si>
  <si>
    <r>
      <t xml:space="preserve">The RMR support table </t>
    </r>
    <r>
      <rPr>
        <sz val="10"/>
        <rFont val="Arial"/>
        <family val="2"/>
      </rPr>
      <t>(for drill &amp; blast tunnels with 10m span)</t>
    </r>
  </si>
  <si>
    <t>3 sets + rand.</t>
  </si>
  <si>
    <t>The degree of weathering is used as information on the rock condition. Rocks in or near the terrain surface show often some weathering</t>
  </si>
  <si>
    <t>Damp</t>
  </si>
  <si>
    <t>damp</t>
  </si>
  <si>
    <t>Inburst / Heavily flowing, without noticeable decay</t>
  </si>
  <si>
    <t>inburst</t>
  </si>
  <si>
    <t>flowing</t>
  </si>
  <si>
    <t>NOTE: Strike and dip are related to the tunnel direction</t>
  </si>
  <si>
    <t>(SRF)</t>
  </si>
  <si>
    <t>(Jw)</t>
  </si>
  <si>
    <t>(Co)</t>
  </si>
  <si>
    <t>(jL)</t>
  </si>
  <si>
    <t>Joint planarity</t>
  </si>
  <si>
    <t>(jw)</t>
  </si>
  <si>
    <t>(Sa)</t>
  </si>
  <si>
    <t>(Tz)</t>
  </si>
  <si>
    <t>(Jv)</t>
  </si>
  <si>
    <t>Joint smoothness</t>
  </si>
  <si>
    <t xml:space="preserve"> Type of weakness zone</t>
  </si>
  <si>
    <t>Jointing pattern</t>
  </si>
  <si>
    <t xml:space="preserve">(Vb) </t>
  </si>
  <si>
    <t>Observation locality</t>
  </si>
  <si>
    <t>cutting</t>
  </si>
  <si>
    <t>tunnel</t>
  </si>
  <si>
    <t>outcrop</t>
  </si>
  <si>
    <t xml:space="preserve"> (min - average - max)</t>
  </si>
  <si>
    <t xml:space="preserve">(short joint = 1-3m) </t>
  </si>
  <si>
    <t xml:space="preserve">(mod. joint = 3-10m) </t>
  </si>
  <si>
    <t xml:space="preserve">A4 = </t>
  </si>
  <si>
    <t>spacing (m)</t>
  </si>
  <si>
    <t>dip direction</t>
  </si>
  <si>
    <r>
      <t xml:space="preserve"> A. </t>
    </r>
    <r>
      <rPr>
        <b/>
        <i/>
        <sz val="7"/>
        <rFont val="Arial"/>
        <family val="2"/>
      </rPr>
      <t>Without</t>
    </r>
    <r>
      <rPr>
        <b/>
        <sz val="7"/>
        <rFont val="Arial"/>
        <family val="2"/>
      </rPr>
      <t xml:space="preserve"> </t>
    </r>
    <r>
      <rPr>
        <sz val="7"/>
        <rFont val="Arial"/>
        <family val="2"/>
      </rPr>
      <t xml:space="preserve">joint filling </t>
    </r>
  </si>
  <si>
    <t>Rock                                material</t>
  </si>
  <si>
    <t xml:space="preserve">A2 = </t>
  </si>
  <si>
    <t xml:space="preserve">A2 used = </t>
  </si>
  <si>
    <t xml:space="preserve">A3 = </t>
  </si>
  <si>
    <t>100 -150MPa</t>
  </si>
  <si>
    <t>150-250MPa</t>
  </si>
  <si>
    <t>75 -100MPa</t>
  </si>
  <si>
    <t>(e)</t>
  </si>
  <si>
    <t>Calculated rockmass deformation modulus (Em)</t>
  </si>
  <si>
    <t>90</t>
  </si>
  <si>
    <t>60</t>
  </si>
  <si>
    <t>Joint           infilling</t>
  </si>
  <si>
    <t>(Blue values and blue text below can be adjusted)</t>
  </si>
  <si>
    <t>Observations made in:</t>
  </si>
  <si>
    <r>
      <t>Strike (</t>
    </r>
    <r>
      <rPr>
        <vertAlign val="superscript"/>
        <sz val="7"/>
        <rFont val="Arial"/>
        <family val="2"/>
      </rPr>
      <t>o</t>
    </r>
    <r>
      <rPr>
        <sz val="7"/>
        <rFont val="Arial"/>
        <family val="2"/>
      </rPr>
      <t>) =</t>
    </r>
  </si>
  <si>
    <r>
      <t>Dip (</t>
    </r>
    <r>
      <rPr>
        <vertAlign val="superscript"/>
        <sz val="7"/>
        <rFont val="Arial"/>
        <family val="2"/>
      </rPr>
      <t>o</t>
    </r>
    <r>
      <rPr>
        <sz val="7"/>
        <rFont val="Arial"/>
        <family val="2"/>
      </rPr>
      <t>) =</t>
    </r>
  </si>
  <si>
    <t>high squeeze</t>
  </si>
  <si>
    <t>mild squeeze</t>
  </si>
  <si>
    <t>Example</t>
  </si>
  <si>
    <t xml:space="preserve">    related to tunnel axis</t>
  </si>
  <si>
    <t xml:space="preserve">   (joints/m3)  </t>
  </si>
  <si>
    <r>
      <t>(Co</t>
    </r>
    <r>
      <rPr>
        <vertAlign val="subscript"/>
        <sz val="7"/>
        <rFont val="Arial"/>
        <family val="2"/>
      </rPr>
      <t>z</t>
    </r>
    <r>
      <rPr>
        <sz val="7"/>
        <rFont val="Arial"/>
        <family val="2"/>
      </rPr>
      <t>)</t>
    </r>
  </si>
  <si>
    <t>loose, open</t>
  </si>
  <si>
    <t>Type of rock</t>
  </si>
  <si>
    <t>Weakness zone</t>
  </si>
  <si>
    <t>(Jn)</t>
  </si>
  <si>
    <r>
      <t>Co</t>
    </r>
    <r>
      <rPr>
        <vertAlign val="subscript"/>
        <sz val="8"/>
        <color indexed="8"/>
        <rFont val="Arial"/>
        <family val="2"/>
      </rPr>
      <t>z</t>
    </r>
    <r>
      <rPr>
        <sz val="8"/>
        <color indexed="8"/>
        <rFont val="Arial"/>
        <family val="2"/>
      </rPr>
      <t xml:space="preserve"> </t>
    </r>
    <r>
      <rPr>
        <sz val="6"/>
        <color indexed="8"/>
        <rFont val="Arial"/>
        <family val="2"/>
      </rPr>
      <t>roof</t>
    </r>
    <r>
      <rPr>
        <sz val="8"/>
        <color indexed="8"/>
        <rFont val="Arial"/>
        <family val="2"/>
      </rPr>
      <t xml:space="preserve"> =</t>
    </r>
  </si>
  <si>
    <r>
      <t>Co</t>
    </r>
    <r>
      <rPr>
        <vertAlign val="subscript"/>
        <sz val="8"/>
        <color indexed="8"/>
        <rFont val="Arial"/>
        <family val="2"/>
      </rPr>
      <t>z</t>
    </r>
    <r>
      <rPr>
        <sz val="8"/>
        <color indexed="8"/>
        <rFont val="Arial"/>
        <family val="2"/>
      </rPr>
      <t xml:space="preserve"> </t>
    </r>
    <r>
      <rPr>
        <sz val="6"/>
        <color indexed="8"/>
        <rFont val="Arial"/>
        <family val="2"/>
      </rPr>
      <t>wall</t>
    </r>
    <r>
      <rPr>
        <sz val="8"/>
        <color indexed="8"/>
        <rFont val="Arial"/>
        <family val="2"/>
      </rPr>
      <t xml:space="preserve"> =</t>
    </r>
  </si>
  <si>
    <r>
      <t xml:space="preserve">Co </t>
    </r>
    <r>
      <rPr>
        <sz val="6"/>
        <color indexed="8"/>
        <rFont val="Arial"/>
        <family val="2"/>
      </rPr>
      <t>roof</t>
    </r>
    <r>
      <rPr>
        <sz val="8"/>
        <color indexed="8"/>
        <rFont val="Arial"/>
        <family val="2"/>
      </rPr>
      <t xml:space="preserve"> =</t>
    </r>
  </si>
  <si>
    <r>
      <t xml:space="preserve">Co </t>
    </r>
    <r>
      <rPr>
        <sz val="6"/>
        <color indexed="8"/>
        <rFont val="Arial"/>
        <family val="2"/>
      </rPr>
      <t>wall</t>
    </r>
    <r>
      <rPr>
        <sz val="8"/>
        <color indexed="8"/>
        <rFont val="Arial"/>
        <family val="2"/>
      </rPr>
      <t xml:space="preserve"> =</t>
    </r>
  </si>
  <si>
    <t>Tunnel span</t>
  </si>
  <si>
    <t>Wall height</t>
  </si>
  <si>
    <r>
      <t>Sr</t>
    </r>
    <r>
      <rPr>
        <vertAlign val="subscript"/>
        <sz val="8"/>
        <color indexed="8"/>
        <rFont val="Arial"/>
        <family val="2"/>
      </rPr>
      <t>roof</t>
    </r>
    <r>
      <rPr>
        <sz val="8"/>
        <color indexed="8"/>
        <rFont val="Arial"/>
        <family val="2"/>
      </rPr>
      <t xml:space="preserve"> =</t>
    </r>
  </si>
  <si>
    <r>
      <rPr>
        <b/>
        <sz val="7"/>
        <color indexed="8"/>
        <rFont val="Arial"/>
        <family val="2"/>
      </rPr>
      <t xml:space="preserve">Em </t>
    </r>
    <r>
      <rPr>
        <sz val="6"/>
        <color indexed="8"/>
        <rFont val="Arial"/>
        <family val="2"/>
      </rPr>
      <t>(from RMR)</t>
    </r>
    <r>
      <rPr>
        <sz val="7"/>
        <color indexed="8"/>
        <rFont val="Arial"/>
        <family val="2"/>
      </rPr>
      <t xml:space="preserve"> =</t>
    </r>
  </si>
  <si>
    <r>
      <rPr>
        <b/>
        <sz val="7"/>
        <color indexed="8"/>
        <rFont val="Arial"/>
        <family val="2"/>
      </rPr>
      <t>Em</t>
    </r>
    <r>
      <rPr>
        <sz val="6"/>
        <color indexed="8"/>
        <rFont val="Arial"/>
        <family val="2"/>
      </rPr>
      <t xml:space="preserve"> (from Q)</t>
    </r>
    <r>
      <rPr>
        <sz val="7"/>
        <color indexed="8"/>
        <rFont val="Arial"/>
        <family val="2"/>
      </rPr>
      <t xml:space="preserve"> =</t>
    </r>
  </si>
  <si>
    <r>
      <rPr>
        <b/>
        <sz val="7"/>
        <color indexed="8"/>
        <rFont val="Arial"/>
        <family val="2"/>
      </rPr>
      <t>Em</t>
    </r>
    <r>
      <rPr>
        <sz val="7"/>
        <color indexed="8"/>
        <rFont val="Arial"/>
        <family val="2"/>
      </rPr>
      <t xml:space="preserve"> </t>
    </r>
    <r>
      <rPr>
        <sz val="6"/>
        <color indexed="8"/>
        <rFont val="Arial"/>
        <family val="2"/>
      </rPr>
      <t>(from RMi)</t>
    </r>
    <r>
      <rPr>
        <sz val="7"/>
        <color indexed="8"/>
        <rFont val="Arial"/>
        <family val="2"/>
      </rPr>
      <t xml:space="preserve"> =</t>
    </r>
  </si>
  <si>
    <t>Characteristics of main joint  set</t>
  </si>
  <si>
    <r>
      <t xml:space="preserve"> Joint aperture </t>
    </r>
    <r>
      <rPr>
        <sz val="7"/>
        <rFont val="Arial"/>
        <family val="2"/>
      </rPr>
      <t>(separation)</t>
    </r>
  </si>
  <si>
    <r>
      <t xml:space="preserve">Weathering of rock </t>
    </r>
    <r>
      <rPr>
        <vertAlign val="superscript"/>
        <sz val="7"/>
        <color indexed="8"/>
        <rFont val="Calibri"/>
        <family val="2"/>
        <scheme val="minor"/>
      </rPr>
      <t>2)</t>
    </r>
  </si>
  <si>
    <t>very favour.</t>
  </si>
  <si>
    <r>
      <t>NOTE: The strike (0 - 90</t>
    </r>
    <r>
      <rPr>
        <vertAlign val="superscript"/>
        <sz val="7"/>
        <color rgb="FF0000CC"/>
        <rFont val="Arial"/>
        <family val="2"/>
      </rPr>
      <t>o</t>
    </r>
    <r>
      <rPr>
        <sz val="7"/>
        <color rgb="FF0000CC"/>
        <rFont val="Arial"/>
        <family val="2"/>
      </rPr>
      <t>) is related to the orientation of the tunnel</t>
    </r>
  </si>
  <si>
    <t xml:space="preserve">Q system </t>
  </si>
  <si>
    <t>RMi system</t>
  </si>
  <si>
    <t>Degree of jointing</t>
  </si>
  <si>
    <r>
      <t xml:space="preserve"> B. </t>
    </r>
    <r>
      <rPr>
        <b/>
        <i/>
        <sz val="7"/>
        <rFont val="Arial"/>
        <family val="2"/>
      </rPr>
      <t>With</t>
    </r>
    <r>
      <rPr>
        <sz val="7"/>
        <rFont val="Arial"/>
        <family val="2"/>
      </rPr>
      <t xml:space="preserve"> filling</t>
    </r>
  </si>
  <si>
    <t>Thickness of weakness zone                                                          Used if value of Tz is not given</t>
  </si>
  <si>
    <r>
      <t xml:space="preserve">Volumetric joint count (Jv)     </t>
    </r>
    <r>
      <rPr>
        <sz val="7"/>
        <color indexed="8"/>
        <rFont val="Arial"/>
        <family val="2"/>
      </rPr>
      <t xml:space="preserve">      Average value</t>
    </r>
  </si>
  <si>
    <t>Common values  are  shown in the green cells</t>
  </si>
  <si>
    <t xml:space="preserve">Each of the parameters have been classified as shown as yellow cells in the left part of the sheet.   This helps in making quick registrations and at the same time prevents the user in forgetting parameters.  </t>
  </si>
  <si>
    <t>GEO-CONDITIONS</t>
  </si>
  <si>
    <r>
      <t xml:space="preserve">Stress level </t>
    </r>
    <r>
      <rPr>
        <sz val="7"/>
        <rFont val="Arial"/>
        <family val="2"/>
      </rPr>
      <t>or</t>
    </r>
    <r>
      <rPr>
        <b/>
        <sz val="7"/>
        <rFont val="Arial"/>
        <family val="2"/>
      </rPr>
      <t xml:space="preserve"> stress type</t>
    </r>
  </si>
  <si>
    <t>COMMENTS</t>
  </si>
  <si>
    <t xml:space="preserve">      Calculated values of 'Degree of jointing'</t>
  </si>
  <si>
    <r>
      <rPr>
        <sz val="8"/>
        <color rgb="FF0000CC"/>
        <rFont val="Calibri"/>
        <family val="2"/>
        <scheme val="minor"/>
      </rPr>
      <t>←</t>
    </r>
    <r>
      <rPr>
        <sz val="7"/>
        <color rgb="FF0000CC"/>
        <rFont val="Calibri"/>
        <family val="2"/>
        <scheme val="minor"/>
      </rPr>
      <t xml:space="preserve"> An approx. value of 'Sa' is autom. calculated from Vb or RQD if no rating is given</t>
    </r>
  </si>
  <si>
    <r>
      <rPr>
        <sz val="8"/>
        <color rgb="FF0000CC"/>
        <rFont val="Calibri"/>
        <family val="2"/>
        <scheme val="minor"/>
      </rPr>
      <t>←</t>
    </r>
    <r>
      <rPr>
        <sz val="7"/>
        <color rgb="FF0000CC"/>
        <rFont val="Calibri"/>
        <family val="2"/>
        <scheme val="minor"/>
      </rPr>
      <t xml:space="preserve"> Help for classification of joint orientation is found below</t>
    </r>
  </si>
  <si>
    <r>
      <rPr>
        <sz val="8"/>
        <color rgb="FF0000CC"/>
        <rFont val="Calibri"/>
        <family val="2"/>
        <scheme val="minor"/>
      </rPr>
      <t>←</t>
    </r>
    <r>
      <rPr>
        <sz val="7"/>
        <color rgb="FF0000CC"/>
        <rFont val="Calibri"/>
        <family val="2"/>
        <scheme val="minor"/>
      </rPr>
      <t xml:space="preserve"> Help for classification of zone orientation is found below</t>
    </r>
  </si>
  <si>
    <t>For use of the RMi rock support charts</t>
  </si>
  <si>
    <t>Joint separation or aperture (e)</t>
  </si>
  <si>
    <r>
      <t>FIELD OBSERVATIONS</t>
    </r>
    <r>
      <rPr>
        <sz val="9"/>
        <color indexed="8"/>
        <rFont val="Arial"/>
        <family val="2"/>
      </rPr>
      <t/>
    </r>
  </si>
  <si>
    <t>of ground quality</t>
  </si>
  <si>
    <r>
      <t xml:space="preserve">INPUT </t>
    </r>
    <r>
      <rPr>
        <vertAlign val="superscript"/>
        <sz val="9"/>
        <color indexed="8"/>
        <rFont val="Arial"/>
        <family val="2"/>
      </rPr>
      <t>1)</t>
    </r>
  </si>
  <si>
    <t>( fill in for  RQD and/or Vb  and/or Jv )                                                               (see note for Sa  →)</t>
  </si>
  <si>
    <t xml:space="preserve">(UCS)   </t>
  </si>
  <si>
    <r>
      <rPr>
        <b/>
        <sz val="7"/>
        <rFont val="Arial"/>
        <family val="2"/>
      </rPr>
      <t>Size</t>
    </r>
    <r>
      <rPr>
        <sz val="6"/>
        <rFont val="Arial"/>
        <family val="2"/>
      </rPr>
      <t xml:space="preserve"> (m2) </t>
    </r>
    <r>
      <rPr>
        <sz val="7"/>
        <rFont val="Arial"/>
        <family val="2"/>
      </rPr>
      <t>=</t>
    </r>
  </si>
  <si>
    <r>
      <rPr>
        <sz val="8"/>
        <color indexed="8"/>
        <rFont val="Calibri"/>
        <family val="2"/>
      </rPr>
      <t>←</t>
    </r>
    <r>
      <rPr>
        <sz val="7"/>
        <color indexed="8"/>
        <rFont val="Arial"/>
        <family val="2"/>
      </rPr>
      <t xml:space="preserve"> 'Tz' may sometimes be difficult to find </t>
    </r>
    <r>
      <rPr>
        <sz val="6"/>
        <color indexed="8"/>
        <rFont val="Arial"/>
        <family val="2"/>
      </rPr>
      <t xml:space="preserve">                                                                                  ( A crude estimate is better than no input)</t>
    </r>
  </si>
  <si>
    <t>revised April 2014</t>
  </si>
  <si>
    <t>Presented Nov. 2013</t>
  </si>
  <si>
    <t>Dry / above GWL</t>
  </si>
  <si>
    <r>
      <t>Sr</t>
    </r>
    <r>
      <rPr>
        <b/>
        <vertAlign val="subscript"/>
        <sz val="8"/>
        <rFont val="Arial"/>
        <family val="2"/>
      </rPr>
      <t>z</t>
    </r>
    <r>
      <rPr>
        <b/>
        <sz val="8"/>
        <rFont val="Arial"/>
        <family val="2"/>
      </rPr>
      <t xml:space="preserve"> =</t>
    </r>
  </si>
  <si>
    <r>
      <t>Sr</t>
    </r>
    <r>
      <rPr>
        <b/>
        <vertAlign val="subscript"/>
        <sz val="8"/>
        <rFont val="Arial"/>
        <family val="2"/>
      </rPr>
      <t xml:space="preserve">z </t>
    </r>
    <r>
      <rPr>
        <b/>
        <sz val="8"/>
        <rFont val="Arial"/>
        <family val="2"/>
      </rPr>
      <t>=</t>
    </r>
  </si>
  <si>
    <t>Jn or Nj =</t>
  </si>
  <si>
    <t>Ja or jA =</t>
  </si>
  <si>
    <r>
      <t xml:space="preserve">Rock type </t>
    </r>
    <r>
      <rPr>
        <vertAlign val="superscript"/>
        <sz val="7"/>
        <color indexed="8"/>
        <rFont val="Calibri"/>
        <family val="2"/>
        <scheme val="minor"/>
      </rPr>
      <t>2)</t>
    </r>
  </si>
  <si>
    <t xml:space="preserve"> Orientation of the zone</t>
  </si>
  <si>
    <t>Groundwater conditions</t>
  </si>
  <si>
    <t>Thickness of the zone</t>
  </si>
  <si>
    <t>dry/above GWL</t>
  </si>
  <si>
    <r>
      <t xml:space="preserve"> Type of joints</t>
    </r>
    <r>
      <rPr>
        <sz val="7"/>
        <rFont val="Arial"/>
        <family val="2"/>
      </rPr>
      <t xml:space="preserve">  (joint length)</t>
    </r>
  </si>
  <si>
    <t>The more input is given, the better the calculated result will be.</t>
  </si>
  <si>
    <t>Rock description</t>
  </si>
  <si>
    <t>Weathering of rock</t>
  </si>
  <si>
    <r>
      <t xml:space="preserve">RQD </t>
    </r>
    <r>
      <rPr>
        <sz val="6"/>
        <rFont val="Arial"/>
        <family val="2"/>
      </rPr>
      <t>(Rock Quality Designation)</t>
    </r>
  </si>
  <si>
    <t>Block volume</t>
  </si>
  <si>
    <t xml:space="preserve">Joint spacing </t>
  </si>
  <si>
    <t xml:space="preserve">   Uniaxial compr. strength</t>
  </si>
  <si>
    <r>
      <t xml:space="preserve">Joint roughness                    </t>
    </r>
    <r>
      <rPr>
        <sz val="7"/>
        <rFont val="Arial"/>
        <family val="2"/>
      </rPr>
      <t xml:space="preserve">  (Jr)</t>
    </r>
  </si>
  <si>
    <t xml:space="preserve">(js) </t>
  </si>
  <si>
    <t>at surface</t>
  </si>
  <si>
    <t>Very low stress level (in portals) /At surface</t>
  </si>
  <si>
    <t>Input of strike and dip:</t>
  </si>
  <si>
    <r>
      <t xml:space="preserve">(Jr = js </t>
    </r>
    <r>
      <rPr>
        <sz val="6"/>
        <color rgb="FF3333FF"/>
        <rFont val="Arial"/>
        <family val="2"/>
      </rPr>
      <t>x</t>
    </r>
    <r>
      <rPr>
        <sz val="8"/>
        <color rgb="FF3333FF"/>
        <rFont val="Arial"/>
        <family val="2"/>
      </rPr>
      <t xml:space="preserve"> jw)</t>
    </r>
  </si>
  <si>
    <t>ii</t>
  </si>
  <si>
    <t>iii</t>
  </si>
  <si>
    <t>iv</t>
  </si>
  <si>
    <t>v</t>
  </si>
  <si>
    <t>vi</t>
  </si>
  <si>
    <t>vii</t>
  </si>
  <si>
    <t>viii</t>
  </si>
  <si>
    <r>
      <rPr>
        <b/>
        <i/>
        <sz val="8"/>
        <color rgb="FF0000CC"/>
        <rFont val="Arial"/>
        <family val="2"/>
      </rPr>
      <t>NOTE:</t>
    </r>
    <r>
      <rPr>
        <i/>
        <sz val="8"/>
        <color rgb="FF0000CC"/>
        <rFont val="Arial"/>
        <family val="2"/>
      </rPr>
      <t xml:space="preserve"> This spreadsheet applies common values for parameters where no input is given. The common values used are shown to the right of the actual input parameter. Common values are also shown in the sheet 'Parameter tables'.    Input for the Degree of jointing (RQD, Vb or Jv) must, however, be given as a minimum for the calculation. (For these parameters no common values are used.)</t>
    </r>
  </si>
  <si>
    <r>
      <t xml:space="preserve">Orientations of main joint sets                                             </t>
    </r>
    <r>
      <rPr>
        <sz val="6"/>
        <color indexed="8"/>
        <rFont val="Arial"/>
        <family val="2"/>
      </rPr>
      <t xml:space="preserve"> (use first line  for foliation, bedding, or schistocity)</t>
    </r>
  </si>
  <si>
    <t>very good</t>
  </si>
  <si>
    <t>good</t>
  </si>
  <si>
    <t>poor</t>
  </si>
  <si>
    <t>very poor</t>
  </si>
  <si>
    <t>except. good</t>
  </si>
  <si>
    <t>extr. good</t>
  </si>
  <si>
    <t>extr. poor</t>
  </si>
  <si>
    <t>except. poor</t>
  </si>
  <si>
    <t>very high</t>
  </si>
  <si>
    <t>low</t>
  </si>
  <si>
    <t>very low</t>
  </si>
  <si>
    <t>extr. low</t>
  </si>
  <si>
    <t>very Poor</t>
  </si>
  <si>
    <t>v. favourable</t>
  </si>
  <si>
    <t>v. unfavourable</t>
  </si>
  <si>
    <t>extr. unfavourable</t>
  </si>
  <si>
    <t>extremely large</t>
  </si>
  <si>
    <t>very large size</t>
  </si>
  <si>
    <t>large size</t>
  </si>
  <si>
    <t>moderate size</t>
  </si>
  <si>
    <t>small size</t>
  </si>
  <si>
    <t>very small size</t>
  </si>
  <si>
    <t>extremely small</t>
  </si>
  <si>
    <t>to calculations</t>
  </si>
  <si>
    <r>
      <t xml:space="preserve"> </t>
    </r>
    <r>
      <rPr>
        <sz val="8"/>
        <color rgb="FF0000CC"/>
        <rFont val="Calibri"/>
        <family val="2"/>
      </rPr>
      <t>←</t>
    </r>
    <r>
      <rPr>
        <sz val="7"/>
        <color rgb="FF0000CC"/>
        <rFont val="Calibri"/>
        <family val="2"/>
      </rPr>
      <t xml:space="preserve"> </t>
    </r>
    <r>
      <rPr>
        <sz val="7"/>
        <color rgb="FF0000CC"/>
        <rFont val="Arial"/>
        <family val="2"/>
      </rPr>
      <t>NOTE: Jv is not directly used as input to the classification systems, but can be used to calculate  Vb  and  RQD</t>
    </r>
  </si>
  <si>
    <t>N80E</t>
  </si>
  <si>
    <t>N30W</t>
  </si>
  <si>
    <r>
      <t>Q</t>
    </r>
    <r>
      <rPr>
        <vertAlign val="subscript"/>
        <sz val="8"/>
        <color indexed="8"/>
        <rFont val="Arial"/>
        <family val="2"/>
      </rPr>
      <t>roof</t>
    </r>
    <r>
      <rPr>
        <b/>
        <sz val="8"/>
        <color indexed="8"/>
        <rFont val="Arial"/>
        <family val="2"/>
      </rPr>
      <t xml:space="preserve"> </t>
    </r>
    <r>
      <rPr>
        <sz val="8"/>
        <color indexed="8"/>
        <rFont val="Arial"/>
        <family val="2"/>
      </rPr>
      <t>=</t>
    </r>
  </si>
  <si>
    <r>
      <t>RMR</t>
    </r>
    <r>
      <rPr>
        <vertAlign val="subscript"/>
        <sz val="8"/>
        <color indexed="8"/>
        <rFont val="Arial"/>
        <family val="2"/>
      </rPr>
      <t>1989</t>
    </r>
    <r>
      <rPr>
        <b/>
        <sz val="8"/>
        <color indexed="8"/>
        <rFont val="Arial"/>
        <family val="2"/>
      </rPr>
      <t xml:space="preserve"> </t>
    </r>
    <r>
      <rPr>
        <sz val="8"/>
        <color indexed="8"/>
        <rFont val="Arial"/>
        <family val="2"/>
      </rPr>
      <t>=</t>
    </r>
  </si>
  <si>
    <r>
      <t>Gc</t>
    </r>
    <r>
      <rPr>
        <vertAlign val="subscript"/>
        <sz val="8"/>
        <color indexed="8"/>
        <rFont val="Arial"/>
        <family val="2"/>
      </rPr>
      <t>roof</t>
    </r>
    <r>
      <rPr>
        <b/>
        <sz val="8"/>
        <color indexed="8"/>
        <rFont val="Arial"/>
        <family val="2"/>
      </rPr>
      <t xml:space="preserve"> </t>
    </r>
    <r>
      <rPr>
        <sz val="8"/>
        <color indexed="8"/>
        <rFont val="Arial"/>
        <family val="2"/>
      </rPr>
      <t>=</t>
    </r>
  </si>
  <si>
    <r>
      <t xml:space="preserve">RMi </t>
    </r>
    <r>
      <rPr>
        <sz val="8"/>
        <color indexed="8"/>
        <rFont val="Arial"/>
        <family val="2"/>
      </rPr>
      <t>=</t>
    </r>
  </si>
  <si>
    <r>
      <rPr>
        <vertAlign val="superscript"/>
        <sz val="6"/>
        <color rgb="FF3333FF"/>
        <rFont val="Arial"/>
        <family val="2"/>
      </rPr>
      <t>2)</t>
    </r>
    <r>
      <rPr>
        <sz val="6"/>
        <color rgb="FF3333FF"/>
        <rFont val="Arial"/>
        <family val="2"/>
      </rPr>
      <t xml:space="preserve"> For general information</t>
    </r>
  </si>
  <si>
    <r>
      <rPr>
        <b/>
        <i/>
        <sz val="6"/>
        <color rgb="FF3333FF"/>
        <rFont val="Arial"/>
        <family val="2"/>
      </rPr>
      <t>Gc</t>
    </r>
    <r>
      <rPr>
        <i/>
        <sz val="6"/>
        <color rgb="FF3333FF"/>
        <rFont val="Arial"/>
        <family val="2"/>
      </rPr>
      <t xml:space="preserve"> and</t>
    </r>
    <r>
      <rPr>
        <b/>
        <i/>
        <sz val="6"/>
        <color rgb="FF3333FF"/>
        <rFont val="Arial"/>
        <family val="2"/>
      </rPr>
      <t xml:space="preserve"> Sr</t>
    </r>
    <r>
      <rPr>
        <i/>
        <sz val="6"/>
        <color rgb="FF3333FF"/>
        <rFont val="Arial"/>
        <family val="2"/>
      </rPr>
      <t xml:space="preserve"> are ground quality and geometer parameters in the RMi support method</t>
    </r>
  </si>
  <si>
    <r>
      <t xml:space="preserve">Joint condition </t>
    </r>
    <r>
      <rPr>
        <sz val="7"/>
        <rFont val="Arial"/>
        <family val="2"/>
      </rPr>
      <t xml:space="preserve">(Ja)                        </t>
    </r>
    <r>
      <rPr>
        <sz val="6"/>
        <color rgb="FF3333FF"/>
        <rFont val="Calibri"/>
        <family val="2"/>
        <scheme val="minor"/>
      </rPr>
      <t xml:space="preserve"> (fill in for A.                                            or for B.)</t>
    </r>
  </si>
  <si>
    <r>
      <rPr>
        <sz val="8"/>
        <color rgb="FF0000CC"/>
        <rFont val="Calibri"/>
        <family val="2"/>
        <scheme val="minor"/>
      </rPr>
      <t>←</t>
    </r>
    <r>
      <rPr>
        <sz val="7"/>
        <color rgb="FF0000CC"/>
        <rFont val="Calibri"/>
        <family val="2"/>
        <scheme val="minor"/>
      </rPr>
      <t xml:space="preserve"> You can insert text after 'GROUND QUALITY' here, e.g. the location of the location where the ground quality refers to</t>
    </r>
  </si>
  <si>
    <t>Arild Palmström</t>
  </si>
  <si>
    <r>
      <t xml:space="preserve">Q support chart, revised             </t>
    </r>
    <r>
      <rPr>
        <b/>
        <sz val="9"/>
        <rFont val="Arial"/>
        <family val="2"/>
      </rPr>
      <t xml:space="preserve">      for drill &amp; blast tunnels</t>
    </r>
  </si>
  <si>
    <t>(The revision by NGI has been for thicknesses 5cm and 6 cm of shotcrete and 2.5m bolt spacings in shotcreted area)</t>
  </si>
  <si>
    <t>INFORMATION</t>
  </si>
  <si>
    <r>
      <rPr>
        <sz val="8"/>
        <rFont val="Calibri"/>
        <family val="2"/>
        <scheme val="minor"/>
      </rPr>
      <t>←</t>
    </r>
    <r>
      <rPr>
        <sz val="7"/>
        <rFont val="Calibri"/>
        <family val="2"/>
        <scheme val="minor"/>
      </rPr>
      <t xml:space="preserve"> NOTE: 'Sa' is the spacing for the main joint set</t>
    </r>
  </si>
  <si>
    <r>
      <t xml:space="preserve">Description of the zone </t>
    </r>
    <r>
      <rPr>
        <b/>
        <sz val="7"/>
        <color indexed="8"/>
        <rFont val="Calibri"/>
        <family val="2"/>
        <scheme val="minor"/>
      </rPr>
      <t xml:space="preserve"> </t>
    </r>
    <r>
      <rPr>
        <b/>
        <sz val="8"/>
        <color indexed="8"/>
        <rFont val="Calibri"/>
        <family val="2"/>
        <scheme val="minor"/>
      </rPr>
      <t xml:space="preserve">→ </t>
    </r>
  </si>
  <si>
    <r>
      <t xml:space="preserve">Mark structure type </t>
    </r>
    <r>
      <rPr>
        <sz val="8"/>
        <color indexed="8"/>
        <rFont val="Calibri"/>
        <family val="2"/>
      </rPr>
      <t>→</t>
    </r>
  </si>
  <si>
    <r>
      <rPr>
        <b/>
        <sz val="7"/>
        <rFont val="Arial"/>
        <family val="2"/>
      </rPr>
      <t xml:space="preserve">Strike/dip </t>
    </r>
    <r>
      <rPr>
        <sz val="7"/>
        <rFont val="Arial"/>
        <family val="2"/>
      </rPr>
      <t>(</t>
    </r>
    <r>
      <rPr>
        <vertAlign val="superscript"/>
        <sz val="7"/>
        <rFont val="Arial"/>
        <family val="2"/>
      </rPr>
      <t>o</t>
    </r>
    <r>
      <rPr>
        <sz val="7"/>
        <rFont val="Arial"/>
        <family val="2"/>
      </rPr>
      <t>)  of zone</t>
    </r>
    <r>
      <rPr>
        <b/>
        <sz val="7"/>
        <rFont val="Arial"/>
        <family val="2"/>
      </rPr>
      <t xml:space="preserve"> </t>
    </r>
    <r>
      <rPr>
        <b/>
        <sz val="8"/>
        <rFont val="Calibri"/>
        <family val="2"/>
      </rPr>
      <t>→</t>
    </r>
    <r>
      <rPr>
        <b/>
        <sz val="7"/>
        <rFont val="Arial"/>
        <family val="2"/>
      </rPr>
      <t xml:space="preserve">  </t>
    </r>
    <r>
      <rPr>
        <sz val="7"/>
        <rFont val="Arial"/>
        <family val="2"/>
      </rPr>
      <t xml:space="preserve">                      </t>
    </r>
    <r>
      <rPr>
        <i/>
        <sz val="7"/>
        <rFont val="Arial"/>
        <family val="2"/>
      </rPr>
      <t xml:space="preserve">   </t>
    </r>
    <r>
      <rPr>
        <sz val="6"/>
        <color rgb="FF3333FF"/>
        <rFont val="Arial"/>
        <family val="2"/>
      </rPr>
      <t xml:space="preserve"> (related to tunnel)</t>
    </r>
  </si>
  <si>
    <r>
      <t>Direction</t>
    </r>
    <r>
      <rPr>
        <sz val="7"/>
        <color indexed="8"/>
        <rFont val="Arial"/>
        <family val="2"/>
      </rPr>
      <t xml:space="preserve"> (</t>
    </r>
    <r>
      <rPr>
        <vertAlign val="superscript"/>
        <sz val="7"/>
        <color indexed="8"/>
        <rFont val="Arial"/>
        <family val="2"/>
      </rPr>
      <t>o</t>
    </r>
    <r>
      <rPr>
        <sz val="7"/>
        <color indexed="8"/>
        <rFont val="Arial"/>
        <family val="2"/>
      </rPr>
      <t xml:space="preserve">)  </t>
    </r>
    <r>
      <rPr>
        <b/>
        <sz val="7"/>
        <color indexed="8"/>
        <rFont val="Arial"/>
        <family val="2"/>
      </rPr>
      <t xml:space="preserve"> </t>
    </r>
    <r>
      <rPr>
        <b/>
        <sz val="7"/>
        <color indexed="8"/>
        <rFont val="Calibri"/>
        <family val="2"/>
        <scheme val="minor"/>
      </rPr>
      <t xml:space="preserve"> </t>
    </r>
    <r>
      <rPr>
        <b/>
        <sz val="8"/>
        <color indexed="8"/>
        <rFont val="Calibri"/>
        <family val="2"/>
        <scheme val="minor"/>
      </rPr>
      <t>→</t>
    </r>
    <r>
      <rPr>
        <b/>
        <sz val="7"/>
        <color indexed="8"/>
        <rFont val="Calibri"/>
        <family val="2"/>
        <scheme val="minor"/>
      </rPr>
      <t xml:space="preserve"> </t>
    </r>
    <r>
      <rPr>
        <b/>
        <sz val="7"/>
        <color indexed="8"/>
        <rFont val="Arial"/>
        <family val="2"/>
      </rPr>
      <t xml:space="preserve">                                          </t>
    </r>
    <r>
      <rPr>
        <sz val="7"/>
        <color indexed="8"/>
        <rFont val="Arial"/>
        <family val="2"/>
      </rPr>
      <t xml:space="preserve">  of tunnel or cavern</t>
    </r>
  </si>
  <si>
    <r>
      <rPr>
        <b/>
        <sz val="7"/>
        <rFont val="Arial"/>
        <family val="2"/>
      </rPr>
      <t xml:space="preserve">Strike / dip </t>
    </r>
    <r>
      <rPr>
        <sz val="7"/>
        <rFont val="Arial"/>
        <family val="2"/>
      </rPr>
      <t>(</t>
    </r>
    <r>
      <rPr>
        <vertAlign val="superscript"/>
        <sz val="7"/>
        <rFont val="Arial"/>
        <family val="2"/>
      </rPr>
      <t>o</t>
    </r>
    <r>
      <rPr>
        <sz val="7"/>
        <rFont val="Arial"/>
        <family val="2"/>
      </rPr>
      <t xml:space="preserve">)  </t>
    </r>
    <r>
      <rPr>
        <b/>
        <sz val="7"/>
        <rFont val="Arial"/>
        <family val="2"/>
      </rPr>
      <t xml:space="preserve"> </t>
    </r>
    <r>
      <rPr>
        <b/>
        <sz val="8"/>
        <rFont val="Calibri"/>
        <family val="2"/>
      </rPr>
      <t>→</t>
    </r>
    <r>
      <rPr>
        <b/>
        <sz val="7"/>
        <rFont val="Arial"/>
        <family val="2"/>
      </rPr>
      <t xml:space="preserve">  </t>
    </r>
    <r>
      <rPr>
        <sz val="7"/>
        <rFont val="Arial"/>
        <family val="2"/>
      </rPr>
      <t xml:space="preserve">                       </t>
    </r>
    <r>
      <rPr>
        <sz val="6"/>
        <rFont val="Arial"/>
        <family val="2"/>
      </rPr>
      <t xml:space="preserve"> of joint set</t>
    </r>
    <r>
      <rPr>
        <i/>
        <sz val="6"/>
        <color rgb="FF0000CC"/>
        <rFont val="Arial"/>
        <family val="2"/>
      </rPr>
      <t xml:space="preserve"> </t>
    </r>
    <r>
      <rPr>
        <sz val="6"/>
        <color rgb="FF3333FF"/>
        <rFont val="Arial"/>
        <family val="2"/>
      </rPr>
      <t xml:space="preserve">(related to tunnel) </t>
    </r>
    <r>
      <rPr>
        <i/>
        <sz val="6"/>
        <color rgb="FF3333FF"/>
        <rFont val="Arial"/>
        <family val="2"/>
      </rPr>
      <t xml:space="preserve">        </t>
    </r>
    <r>
      <rPr>
        <sz val="6"/>
        <color rgb="FF3333FF"/>
        <rFont val="Arial"/>
        <family val="2"/>
      </rPr>
      <t xml:space="preserve">      </t>
    </r>
  </si>
  <si>
    <t xml:space="preserve">    field observations are made</t>
  </si>
  <si>
    <t>← mark if extrapolations of</t>
  </si>
  <si>
    <t>Description of location</t>
  </si>
  <si>
    <r>
      <rPr>
        <vertAlign val="superscript"/>
        <sz val="6"/>
        <color rgb="FF3333FF"/>
        <rFont val="Arial"/>
        <family val="2"/>
      </rPr>
      <t xml:space="preserve">1) </t>
    </r>
    <r>
      <rPr>
        <sz val="6"/>
        <color rgb="FF3333FF"/>
        <rFont val="Arial"/>
        <family val="2"/>
      </rPr>
      <t>Remember to use extrapolation when surface observations are transformed to underground conditions</t>
    </r>
  </si>
  <si>
    <t xml:space="preserve"> RMi /GW =</t>
  </si>
  <si>
    <t>Ground condition</t>
  </si>
  <si>
    <t>(green cells are for input)</t>
  </si>
  <si>
    <t>Joint orientation (in roof)         B =</t>
  </si>
  <si>
    <t>Site (1)</t>
  </si>
  <si>
    <t>50/60</t>
  </si>
  <si>
    <t>N10W</t>
  </si>
  <si>
    <t>N40E</t>
  </si>
  <si>
    <t>some random joints</t>
  </si>
  <si>
    <t>20-30</t>
  </si>
  <si>
    <t>SE</t>
  </si>
  <si>
    <t>SW</t>
  </si>
  <si>
    <t>0.03-0.06</t>
  </si>
  <si>
    <t>0.02-0.1</t>
  </si>
  <si>
    <t>gneiss</t>
  </si>
  <si>
    <t>A small area of more densely jointed rock exposure</t>
  </si>
  <si>
    <t>Slightly weathered, grey gneiss</t>
  </si>
  <si>
    <t>Fine to medium grained gneiss</t>
  </si>
  <si>
    <t>The common values used are shown in the sheet 'Parameter tables'.</t>
  </si>
  <si>
    <t xml:space="preserve">GEO-REGISTRATIONS   </t>
  </si>
  <si>
    <t>PARAMETERS</t>
  </si>
  <si>
    <r>
      <t xml:space="preserve">FIELD OBSERVATIONS </t>
    </r>
    <r>
      <rPr>
        <sz val="9"/>
        <color indexed="8"/>
        <rFont val="Arial"/>
        <family val="2"/>
      </rPr>
      <t/>
    </r>
  </si>
  <si>
    <t xml:space="preserve">Observations made in </t>
  </si>
  <si>
    <r>
      <rPr>
        <b/>
        <sz val="7"/>
        <rFont val="Arial"/>
        <family val="2"/>
      </rPr>
      <t>Size</t>
    </r>
    <r>
      <rPr>
        <sz val="6"/>
        <rFont val="Arial"/>
        <family val="2"/>
      </rPr>
      <t xml:space="preserve"> (m2)</t>
    </r>
    <r>
      <rPr>
        <sz val="7"/>
        <rFont val="Arial"/>
        <family val="2"/>
      </rPr>
      <t xml:space="preserve"> =</t>
    </r>
  </si>
  <si>
    <r>
      <t xml:space="preserve">Orientations of main joint sets                                             </t>
    </r>
    <r>
      <rPr>
        <sz val="6"/>
        <color indexed="8"/>
        <rFont val="Arial"/>
        <family val="2"/>
      </rPr>
      <t xml:space="preserve"> (use set  #1  for foliation, bedding, or schistocity)</t>
    </r>
  </si>
  <si>
    <t xml:space="preserve">Description of locality </t>
  </si>
  <si>
    <t>#</t>
  </si>
  <si>
    <t>0.03 -0.06</t>
  </si>
  <si>
    <t xml:space="preserve">  Rock or rockmass description </t>
  </si>
  <si>
    <t>Partly loose structure in the terrain surface</t>
  </si>
  <si>
    <t xml:space="preserve">0.2 - 0.5 </t>
  </si>
  <si>
    <t xml:space="preserve"> Weathering of rock</t>
  </si>
  <si>
    <t>several random joints</t>
  </si>
  <si>
    <t>Uniax. compr. strength</t>
  </si>
  <si>
    <t>1 - 5MPa</t>
  </si>
  <si>
    <t>Degree of       jointing</t>
  </si>
  <si>
    <t xml:space="preserve"> RQD </t>
  </si>
  <si>
    <t xml:space="preserve"> Block volume  (Vb) </t>
  </si>
  <si>
    <t xml:space="preserve"> Volumetric joint count  (Jv)</t>
  </si>
  <si>
    <t xml:space="preserve"> Joint spacing  (Sa)</t>
  </si>
  <si>
    <r>
      <rPr>
        <sz val="6"/>
        <rFont val="Calibri"/>
        <family val="2"/>
      </rPr>
      <t>←</t>
    </r>
    <r>
      <rPr>
        <sz val="8.9"/>
        <rFont val="Arial"/>
        <family val="2"/>
      </rPr>
      <t xml:space="preserve"> </t>
    </r>
    <r>
      <rPr>
        <sz val="6"/>
        <rFont val="Arial"/>
        <family val="2"/>
      </rPr>
      <t>NOTE: 'Sa' is the joint spacing for the main joint set</t>
    </r>
  </si>
  <si>
    <r>
      <t xml:space="preserve">Number of joint sets  (Jn)  </t>
    </r>
    <r>
      <rPr>
        <sz val="5"/>
        <color rgb="FF0000CC"/>
        <rFont val="Arial"/>
        <family val="2"/>
      </rPr>
      <t>(in area 5 x tunnel span)</t>
    </r>
  </si>
  <si>
    <r>
      <t xml:space="preserve">Orientation of main joint set  </t>
    </r>
    <r>
      <rPr>
        <sz val="7"/>
        <color rgb="FF0000CC"/>
        <rFont val="Arial"/>
        <family val="2"/>
      </rPr>
      <t xml:space="preserve"> </t>
    </r>
    <r>
      <rPr>
        <sz val="5"/>
        <color rgb="FF0000CC"/>
        <rFont val="Arial"/>
        <family val="2"/>
      </rPr>
      <t>(related to tunnel)</t>
    </r>
  </si>
  <si>
    <r>
      <rPr>
        <b/>
        <sz val="7"/>
        <rFont val="Calibri"/>
        <family val="2"/>
        <scheme val="minor"/>
      </rPr>
      <t xml:space="preserve">Strike / dip </t>
    </r>
    <r>
      <rPr>
        <sz val="7"/>
        <rFont val="Calibri"/>
        <family val="2"/>
        <scheme val="minor"/>
      </rPr>
      <t>(</t>
    </r>
    <r>
      <rPr>
        <vertAlign val="superscript"/>
        <sz val="7"/>
        <rFont val="Calibri"/>
        <family val="2"/>
        <scheme val="minor"/>
      </rPr>
      <t>o</t>
    </r>
    <r>
      <rPr>
        <sz val="7"/>
        <rFont val="Calibri"/>
        <family val="2"/>
        <scheme val="minor"/>
      </rPr>
      <t xml:space="preserve">)  of                    joint set  </t>
    </r>
    <r>
      <rPr>
        <sz val="7"/>
        <color rgb="FF3333FF"/>
        <rFont val="Calibri"/>
        <family val="2"/>
        <scheme val="minor"/>
      </rPr>
      <t>(related to tunnel)</t>
    </r>
    <r>
      <rPr>
        <sz val="7"/>
        <rFont val="Calibri"/>
        <family val="2"/>
        <scheme val="minor"/>
      </rPr>
      <t xml:space="preserve">                     </t>
    </r>
    <r>
      <rPr>
        <i/>
        <sz val="6"/>
        <rFont val="Calibri"/>
        <family val="2"/>
        <scheme val="minor"/>
      </rPr>
      <t xml:space="preserve">      </t>
    </r>
    <r>
      <rPr>
        <sz val="6"/>
        <rFont val="Calibri"/>
        <family val="2"/>
        <scheme val="minor"/>
      </rPr>
      <t xml:space="preserve">      </t>
    </r>
  </si>
  <si>
    <r>
      <t>Joint roughness</t>
    </r>
    <r>
      <rPr>
        <sz val="7"/>
        <rFont val="Arial"/>
        <family val="2"/>
      </rPr>
      <t xml:space="preserve">  (Jr)</t>
    </r>
  </si>
  <si>
    <t>Joint smoothness  (js)</t>
  </si>
  <si>
    <r>
      <t xml:space="preserve">(Jr = js </t>
    </r>
    <r>
      <rPr>
        <sz val="5"/>
        <color indexed="8"/>
        <rFont val="Arial"/>
        <family val="2"/>
      </rPr>
      <t>x</t>
    </r>
    <r>
      <rPr>
        <sz val="7"/>
        <color indexed="8"/>
        <rFont val="Arial"/>
        <family val="2"/>
      </rPr>
      <t xml:space="preserve"> jw)</t>
    </r>
  </si>
  <si>
    <t>Joint planarity  (jw)</t>
  </si>
  <si>
    <r>
      <t xml:space="preserve">Joint condition                      </t>
    </r>
    <r>
      <rPr>
        <sz val="7"/>
        <rFont val="Arial"/>
        <family val="2"/>
      </rPr>
      <t xml:space="preserve">(Ja) </t>
    </r>
  </si>
  <si>
    <r>
      <t xml:space="preserve"> A. Without</t>
    </r>
    <r>
      <rPr>
        <b/>
        <sz val="7"/>
        <rFont val="Arial"/>
        <family val="2"/>
      </rPr>
      <t/>
    </r>
  </si>
  <si>
    <t xml:space="preserve">    joint filling     </t>
  </si>
  <si>
    <t xml:space="preserve"> B. Joint</t>
  </si>
  <si>
    <t xml:space="preserve">      filling</t>
  </si>
  <si>
    <t>&lt; 5mm →</t>
  </si>
  <si>
    <t>&gt; 5mm →</t>
  </si>
  <si>
    <r>
      <t xml:space="preserve"> Type of joints</t>
    </r>
    <r>
      <rPr>
        <sz val="7"/>
        <rFont val="Arial"/>
        <family val="2"/>
      </rPr>
      <t xml:space="preserve">                             ( joint length )</t>
    </r>
  </si>
  <si>
    <r>
      <t xml:space="preserve"> Joint aperture </t>
    </r>
    <r>
      <rPr>
        <sz val="7"/>
        <rFont val="Arial"/>
        <family val="2"/>
      </rPr>
      <t>(separation)  (e)</t>
    </r>
  </si>
  <si>
    <r>
      <t xml:space="preserve">Direction </t>
    </r>
    <r>
      <rPr>
        <sz val="7"/>
        <color indexed="8"/>
        <rFont val="Arial"/>
        <family val="2"/>
      </rPr>
      <t>(</t>
    </r>
    <r>
      <rPr>
        <vertAlign val="superscript"/>
        <sz val="7"/>
        <color indexed="8"/>
        <rFont val="Arial"/>
        <family val="2"/>
      </rPr>
      <t>o</t>
    </r>
    <r>
      <rPr>
        <sz val="7"/>
        <color indexed="8"/>
        <rFont val="Arial"/>
        <family val="2"/>
      </rPr>
      <t>)</t>
    </r>
    <r>
      <rPr>
        <b/>
        <sz val="7"/>
        <color indexed="8"/>
        <rFont val="Arial"/>
        <family val="2"/>
      </rPr>
      <t xml:space="preserve">   </t>
    </r>
    <r>
      <rPr>
        <b/>
        <sz val="7"/>
        <color indexed="8"/>
        <rFont val="Calibri"/>
        <family val="2"/>
        <scheme val="minor"/>
      </rPr>
      <t xml:space="preserve"> → </t>
    </r>
    <r>
      <rPr>
        <b/>
        <sz val="7"/>
        <color indexed="8"/>
        <rFont val="Arial"/>
        <family val="2"/>
      </rPr>
      <t xml:space="preserve">                                            </t>
    </r>
    <r>
      <rPr>
        <sz val="7"/>
        <color indexed="8"/>
        <rFont val="Arial"/>
        <family val="2"/>
      </rPr>
      <t>of tunnel or cavern</t>
    </r>
  </si>
  <si>
    <r>
      <t xml:space="preserve">Groundwater conditions </t>
    </r>
    <r>
      <rPr>
        <sz val="7"/>
        <color indexed="8"/>
        <rFont val="Arial"/>
        <family val="2"/>
      </rPr>
      <t xml:space="preserve"> (Jw) </t>
    </r>
  </si>
  <si>
    <t>dry /above GWL</t>
  </si>
  <si>
    <r>
      <t>Rock stresses</t>
    </r>
    <r>
      <rPr>
        <sz val="7"/>
        <rFont val="Arial"/>
        <family val="2"/>
      </rPr>
      <t xml:space="preserve">  (SRF) </t>
    </r>
  </si>
  <si>
    <r>
      <t xml:space="preserve"> Type of weakness zone</t>
    </r>
    <r>
      <rPr>
        <sz val="7"/>
        <rFont val="Arial"/>
        <family val="2"/>
      </rPr>
      <t xml:space="preserve">  (SRF) </t>
    </r>
  </si>
  <si>
    <t xml:space="preserve"> Orientation of zone</t>
  </si>
  <si>
    <r>
      <rPr>
        <b/>
        <sz val="7"/>
        <rFont val="Arial"/>
        <family val="2"/>
      </rPr>
      <t xml:space="preserve">Strike/dip </t>
    </r>
    <r>
      <rPr>
        <sz val="7"/>
        <rFont val="Arial"/>
        <family val="2"/>
      </rPr>
      <t>(</t>
    </r>
    <r>
      <rPr>
        <vertAlign val="superscript"/>
        <sz val="7"/>
        <rFont val="Arial"/>
        <family val="2"/>
      </rPr>
      <t>o</t>
    </r>
    <r>
      <rPr>
        <sz val="7"/>
        <rFont val="Arial"/>
        <family val="2"/>
      </rPr>
      <t>)  of zone</t>
    </r>
    <r>
      <rPr>
        <b/>
        <sz val="7"/>
        <rFont val="Arial"/>
        <family val="2"/>
      </rPr>
      <t xml:space="preserve"> </t>
    </r>
    <r>
      <rPr>
        <b/>
        <sz val="7"/>
        <rFont val="Calibri"/>
        <family val="2"/>
      </rPr>
      <t>→</t>
    </r>
    <r>
      <rPr>
        <b/>
        <sz val="7"/>
        <rFont val="Arial"/>
        <family val="2"/>
      </rPr>
      <t xml:space="preserve">  </t>
    </r>
    <r>
      <rPr>
        <sz val="7"/>
        <rFont val="Arial"/>
        <family val="2"/>
      </rPr>
      <t xml:space="preserve">                      </t>
    </r>
    <r>
      <rPr>
        <i/>
        <sz val="7"/>
        <rFont val="Arial"/>
        <family val="2"/>
      </rPr>
      <t xml:space="preserve">   </t>
    </r>
    <r>
      <rPr>
        <sz val="6"/>
        <color rgb="FF0000CC"/>
        <rFont val="Arial"/>
        <family val="2"/>
      </rPr>
      <t xml:space="preserve"> (related to tunnel axis)</t>
    </r>
  </si>
  <si>
    <t xml:space="preserve">   (related to tunnel axis)</t>
  </si>
  <si>
    <r>
      <t xml:space="preserve">Thickness of zone </t>
    </r>
    <r>
      <rPr>
        <sz val="7"/>
        <rFont val="Arial"/>
        <family val="2"/>
      </rPr>
      <t>(Tz)</t>
    </r>
  </si>
  <si>
    <t>metres</t>
  </si>
  <si>
    <r>
      <rPr>
        <sz val="8"/>
        <color indexed="8"/>
        <rFont val="Calibri"/>
        <family val="2"/>
      </rPr>
      <t>←</t>
    </r>
    <r>
      <rPr>
        <sz val="6"/>
        <color indexed="8"/>
        <rFont val="Arial"/>
        <family val="2"/>
      </rPr>
      <t xml:space="preserve"> 'Tz' may sometimes be difficult to find                     A crude estimate is better than no input</t>
    </r>
  </si>
  <si>
    <r>
      <t>Type of</t>
    </r>
    <r>
      <rPr>
        <b/>
        <sz val="7"/>
        <color indexed="8"/>
        <rFont val="Calibri"/>
        <family val="2"/>
        <scheme val="minor"/>
      </rPr>
      <t xml:space="preserve"> → </t>
    </r>
  </si>
  <si>
    <t>structure</t>
  </si>
  <si>
    <t>The scheme is adapted to an Excel spreadshet where the                  Q-, RMR- and RMi-values are calculated</t>
  </si>
  <si>
    <r>
      <t>2. Exposed rocks in the terrain surface</t>
    </r>
    <r>
      <rPr>
        <sz val="9"/>
        <color theme="1"/>
        <rFont val="Calibri"/>
        <family val="2"/>
        <scheme val="minor"/>
      </rPr>
      <t xml:space="preserve"> (Scale: 15cm long pencil)</t>
    </r>
  </si>
  <si>
    <t>Densely jointed, slightly weathered gneiss. Probably one joint set parallel to the surface + 2 other sets, i.e. 3 sets to 3  sets + random joints. The rockmass may be characterized as strongly jointed.</t>
  </si>
  <si>
    <t>The smooth joints are planar to slightly undulating.</t>
  </si>
  <si>
    <r>
      <t>Block volume, Vb = 0.5 – 2dm</t>
    </r>
    <r>
      <rPr>
        <vertAlign val="superscript"/>
        <sz val="9"/>
        <color theme="1"/>
        <rFont val="Calibri"/>
        <family val="2"/>
        <scheme val="minor"/>
      </rPr>
      <t>3</t>
    </r>
  </si>
  <si>
    <t>In the surface, the rockmasss has a loose structure</t>
  </si>
  <si>
    <t>small location in an area of dense jointing</t>
  </si>
  <si>
    <t>Slightly weathered grey gneiss</t>
  </si>
  <si>
    <t>Fine to medium greined rock</t>
  </si>
  <si>
    <t>0.02-0.01</t>
  </si>
  <si>
    <r>
      <t xml:space="preserve">In the </t>
    </r>
    <r>
      <rPr>
        <b/>
        <sz val="10"/>
        <rFont val="Arial"/>
        <family val="2"/>
      </rPr>
      <t>GEO-CONDITIONS</t>
    </r>
    <r>
      <rPr>
        <sz val="10"/>
        <rFont val="Arial"/>
        <family val="2"/>
      </rPr>
      <t xml:space="preserve"> sheet, the ratings of the input parameters representing the extrapolated conditions in the rock excavation are inserted in the colomn on the right side of the sheet.  From these the ground qualities in three classification systems are calculated. </t>
    </r>
  </si>
  <si>
    <t>Most joints are short with length &lt; 1m, but a couple moderate joints  can be seen.</t>
  </si>
  <si>
    <t>The gneiss has approx. USC = 50 - 60 MPa.</t>
  </si>
  <si>
    <r>
      <t xml:space="preserve">i </t>
    </r>
    <r>
      <rPr>
        <b/>
        <sz val="6"/>
        <color rgb="FF0000CC"/>
        <rFont val="Arial"/>
        <family val="2"/>
      </rPr>
      <t>or</t>
    </r>
    <r>
      <rPr>
        <b/>
        <sz val="8"/>
        <color rgb="FF0000CC"/>
        <rFont val="Arial"/>
        <family val="2"/>
      </rPr>
      <t xml:space="preserve"> vi</t>
    </r>
  </si>
  <si>
    <r>
      <rPr>
        <sz val="8"/>
        <color rgb="FF3333FF"/>
        <rFont val="Calibri"/>
        <family val="2"/>
      </rPr>
      <t>←</t>
    </r>
    <r>
      <rPr>
        <sz val="7"/>
        <color rgb="FF3333FF"/>
        <rFont val="Calibri"/>
        <family val="2"/>
        <scheme val="minor"/>
      </rPr>
      <t>approx. rockmass comprive strength (in MPa)</t>
    </r>
  </si>
  <si>
    <t>CALCULATED GROUND QUALITY  in tunnel</t>
  </si>
  <si>
    <r>
      <t xml:space="preserve">The </t>
    </r>
    <r>
      <rPr>
        <b/>
        <sz val="10"/>
        <rFont val="Arial"/>
        <family val="2"/>
      </rPr>
      <t>GEO-REGISTRATIONS</t>
    </r>
    <r>
      <rPr>
        <sz val="10"/>
        <rFont val="Arial"/>
        <family val="2"/>
      </rPr>
      <t xml:space="preserve"> sheet is used for for the observations made at the terrain surface. It is a documentation of the rockmass conditions observed on a site.  The field observations can e.g. be given by a circle, as shown in the example.</t>
    </r>
  </si>
  <si>
    <t>Eight types of rockmass structures are shown at the left bottom of the scheme. Input for this parameter is meant as additional information; it is not used as input to the calculations made.</t>
  </si>
  <si>
    <t>The factor  Gc (ground condition factor) expresses the ground quality and the factor  Sr (size ratio) represents the excavation size (i.e. tunnel span or wall height) divided by the block size. These two parameters are input in the RMi support chart. See the 'RMi-support' sheet.</t>
  </si>
  <si>
    <t xml:space="preserve">The spreadsheet uses common value if an input parameter is not inserted. Thus, only input of one of the parameters in the 'Degree of jointing' is needed for the spreadsheet to make calculations.   However, the more parameter ratings or values given, the better the result will be, and the best will be achieved when all input parameters are given. </t>
  </si>
  <si>
    <t>Figure: The unsupported part of the excavation is indicated on the figure. This is often on the last 1 - 2 blast rounds. For a 10 m wide tunnel (with 12 m along the roof) and 4 m long blast rounds, the unsupported area in the roof is some (4 to 8) x 12 = 50 to 100 m2. Ideally, the observation area used for geo-registrations should be similar to the unsupported size.  (This is of special importence when it comes to the Jn factor (for the number of joint sets) in the Q and RMi systems)</t>
  </si>
  <si>
    <t>The Example is documentation of observations of rockmass conditions in an outcrop site and the assumed (extrapolated) ground conditions in a tunnel 200 m below.  The rockmass in the outcrop are slightly - moderately  weathered, while the rocks at the level of the tunnel are probably unweathered (fresh), as found from a core drilling in another locality. The sheet 'GEO-CONDITIONS' show documentation of the extrapolation made to arrive at the calculated ground quality given in the Q, RMR and RMi classification systems.</t>
  </si>
  <si>
    <t>The observations found and marked in sheet 'Geo-registrations Site (1)' are marked with grey cells and blue descriptions (in green cells)</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</si>
</sst>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0.0"/>
    <numFmt numFmtId="165" formatCode="0.000"/>
    <numFmt numFmtId="166" formatCode="0.00000"/>
    <numFmt numFmtId="167" formatCode="0.0000000"/>
    <numFmt numFmtId="168" formatCode="#,##0.0000000"/>
    <numFmt numFmtId="169" formatCode="0&quot;MPa&quot;"/>
    <numFmt numFmtId="170" formatCode="0&quot;m&quot;"/>
    <numFmt numFmtId="171" formatCode="0.00&quot;m&quot;"/>
    <numFmt numFmtId="172" formatCode="0.000&quot;m3&quot;"/>
    <numFmt numFmtId="173" formatCode="0&quot; joints/m3&quot;"/>
    <numFmt numFmtId="174" formatCode="0.0&quot;m&quot;"/>
    <numFmt numFmtId="175" formatCode="0&quot; m2&quot;"/>
  </numFmts>
  <fonts count="216" x14ac:knownFonts="1">
    <font>
      <sz val="10"/>
      <name val="Arial"/>
    </font>
    <font>
      <sz val="10"/>
      <name val="Arial"/>
      <family val="2"/>
    </font>
    <font>
      <b/>
      <sz val="8"/>
      <name val="Arial"/>
      <family val="2"/>
    </font>
    <font>
      <sz val="8"/>
      <name val="Arial"/>
      <family val="2"/>
    </font>
    <font>
      <sz val="9"/>
      <name val="Arial"/>
      <family val="2"/>
    </font>
    <font>
      <sz val="10"/>
      <name val="Arial"/>
      <family val="2"/>
    </font>
    <font>
      <sz val="7"/>
      <color indexed="12"/>
      <name val="Arial"/>
      <family val="2"/>
    </font>
    <font>
      <u/>
      <sz val="12.5"/>
      <color indexed="12"/>
      <name val="MS Sans Serif"/>
      <family val="2"/>
    </font>
    <font>
      <sz val="8"/>
      <color indexed="10"/>
      <name val="Arial"/>
      <family val="2"/>
    </font>
    <font>
      <sz val="8"/>
      <color indexed="12"/>
      <name val="Arial"/>
      <family val="2"/>
    </font>
    <font>
      <sz val="7"/>
      <name val="Arial"/>
      <family val="2"/>
    </font>
    <font>
      <sz val="9"/>
      <color indexed="12"/>
      <name val="Arial"/>
      <family val="2"/>
    </font>
    <font>
      <b/>
      <sz val="10"/>
      <name val="Arial"/>
      <family val="2"/>
    </font>
    <font>
      <b/>
      <sz val="7"/>
      <name val="Arial"/>
      <family val="2"/>
    </font>
    <font>
      <b/>
      <sz val="9"/>
      <name val="Arial"/>
      <family val="2"/>
    </font>
    <font>
      <b/>
      <sz val="8"/>
      <color indexed="8"/>
      <name val="Arial"/>
      <family val="2"/>
    </font>
    <font>
      <sz val="8"/>
      <color indexed="8"/>
      <name val="Arial"/>
      <family val="2"/>
    </font>
    <font>
      <sz val="7"/>
      <color indexed="8"/>
      <name val="Arial"/>
      <family val="2"/>
    </font>
    <font>
      <sz val="7"/>
      <color indexed="8"/>
      <name val="Symbol"/>
      <family val="1"/>
      <charset val="2"/>
    </font>
    <font>
      <vertAlign val="subscript"/>
      <sz val="7"/>
      <color indexed="8"/>
      <name val="Arial"/>
      <family val="2"/>
    </font>
    <font>
      <b/>
      <sz val="7"/>
      <color indexed="8"/>
      <name val="Arial"/>
      <family val="2"/>
    </font>
    <font>
      <vertAlign val="superscript"/>
      <sz val="7"/>
      <name val="Arial"/>
      <family val="2"/>
    </font>
    <font>
      <b/>
      <i/>
      <sz val="7"/>
      <name val="Arial"/>
      <family val="2"/>
    </font>
    <font>
      <i/>
      <sz val="7"/>
      <name val="Arial"/>
      <family val="2"/>
    </font>
    <font>
      <sz val="7"/>
      <color indexed="10"/>
      <name val="Arial"/>
      <family val="2"/>
    </font>
    <font>
      <sz val="7"/>
      <name val="Symbol"/>
      <family val="1"/>
      <charset val="2"/>
    </font>
    <font>
      <vertAlign val="subscript"/>
      <sz val="7"/>
      <name val="Symbol"/>
      <family val="1"/>
      <charset val="2"/>
    </font>
    <font>
      <vertAlign val="subscript"/>
      <sz val="7"/>
      <name val="Arial"/>
      <family val="2"/>
    </font>
    <font>
      <b/>
      <sz val="11"/>
      <name val="Arial"/>
      <family val="2"/>
    </font>
    <font>
      <vertAlign val="subscript"/>
      <sz val="8"/>
      <name val="Arial"/>
      <family val="2"/>
    </font>
    <font>
      <i/>
      <sz val="8"/>
      <name val="Arial"/>
      <family val="2"/>
    </font>
    <font>
      <i/>
      <sz val="8"/>
      <color indexed="10"/>
      <name val="Arial"/>
      <family val="2"/>
    </font>
    <font>
      <sz val="9"/>
      <name val="Symbol"/>
      <family val="1"/>
      <charset val="2"/>
    </font>
    <font>
      <vertAlign val="subscript"/>
      <sz val="9"/>
      <name val="Arial"/>
      <family val="2"/>
    </font>
    <font>
      <sz val="10"/>
      <name val="Symbol"/>
      <family val="1"/>
      <charset val="2"/>
    </font>
    <font>
      <vertAlign val="subscript"/>
      <sz val="8"/>
      <name val="Symbol"/>
      <family val="1"/>
      <charset val="2"/>
    </font>
    <font>
      <i/>
      <sz val="8"/>
      <color indexed="12"/>
      <name val="Arial"/>
      <family val="2"/>
    </font>
    <font>
      <i/>
      <sz val="9"/>
      <color indexed="12"/>
      <name val="Arial"/>
      <family val="2"/>
    </font>
    <font>
      <sz val="10"/>
      <color indexed="12"/>
      <name val="MS Sans Serif"/>
      <family val="2"/>
    </font>
    <font>
      <sz val="8"/>
      <name val="Symbol"/>
      <family val="1"/>
      <charset val="2"/>
    </font>
    <font>
      <sz val="9"/>
      <color indexed="8"/>
      <name val="Arial"/>
      <family val="2"/>
    </font>
    <font>
      <sz val="8"/>
      <name val="Arial"/>
      <family val="2"/>
    </font>
    <font>
      <b/>
      <sz val="7"/>
      <color indexed="12"/>
      <name val="Arial"/>
      <family val="2"/>
    </font>
    <font>
      <sz val="7"/>
      <name val="Arial"/>
      <family val="2"/>
    </font>
    <font>
      <vertAlign val="superscript"/>
      <sz val="8"/>
      <name val="Arial"/>
      <family val="2"/>
    </font>
    <font>
      <b/>
      <sz val="12"/>
      <name val="Arial"/>
      <family val="2"/>
    </font>
    <font>
      <sz val="8"/>
      <color indexed="12"/>
      <name val="Arial"/>
      <family val="2"/>
    </font>
    <font>
      <b/>
      <sz val="9"/>
      <color indexed="8"/>
      <name val="Arial"/>
      <family val="2"/>
    </font>
    <font>
      <vertAlign val="superscript"/>
      <sz val="8"/>
      <color indexed="8"/>
      <name val="Arial"/>
      <family val="2"/>
    </font>
    <font>
      <b/>
      <vertAlign val="subscript"/>
      <sz val="8"/>
      <name val="Arial"/>
      <family val="2"/>
    </font>
    <font>
      <i/>
      <sz val="7"/>
      <name val="Arial"/>
      <family val="2"/>
    </font>
    <font>
      <b/>
      <i/>
      <sz val="8"/>
      <name val="Arial"/>
      <family val="2"/>
    </font>
    <font>
      <b/>
      <i/>
      <sz val="9"/>
      <name val="Arial"/>
      <family val="2"/>
    </font>
    <font>
      <u/>
      <sz val="10"/>
      <name val="Arial"/>
      <family val="2"/>
    </font>
    <font>
      <b/>
      <i/>
      <sz val="9"/>
      <color indexed="12"/>
      <name val="Arial"/>
      <family val="2"/>
    </font>
    <font>
      <u/>
      <sz val="8.5"/>
      <color indexed="12"/>
      <name val="MS Sans Serif"/>
      <family val="2"/>
    </font>
    <font>
      <i/>
      <sz val="8"/>
      <name val="Arial"/>
      <family val="2"/>
    </font>
    <font>
      <b/>
      <i/>
      <sz val="8"/>
      <name val="Arial"/>
      <family val="2"/>
    </font>
    <font>
      <strike/>
      <sz val="10"/>
      <name val="Arial"/>
      <family val="2"/>
    </font>
    <font>
      <strike/>
      <sz val="8"/>
      <name val="Arial"/>
      <family val="2"/>
    </font>
    <font>
      <strike/>
      <sz val="8"/>
      <name val="Arial"/>
      <family val="2"/>
    </font>
    <font>
      <strike/>
      <sz val="10"/>
      <name val="Cambria"/>
      <family val="1"/>
    </font>
    <font>
      <sz val="10"/>
      <name val="Cambria"/>
      <family val="1"/>
    </font>
    <font>
      <sz val="8"/>
      <name val="Cambria"/>
      <family val="1"/>
    </font>
    <font>
      <sz val="8"/>
      <color indexed="12"/>
      <name val="Cambria"/>
      <family val="1"/>
    </font>
    <font>
      <sz val="6"/>
      <name val="Arial"/>
      <family val="2"/>
    </font>
    <font>
      <i/>
      <vertAlign val="superscript"/>
      <sz val="7"/>
      <name val="Arial"/>
      <family val="2"/>
    </font>
    <font>
      <i/>
      <sz val="7"/>
      <name val="Symbol"/>
      <family val="1"/>
      <charset val="2"/>
    </font>
    <font>
      <i/>
      <vertAlign val="subscript"/>
      <sz val="7"/>
      <name val="Symbol"/>
      <family val="1"/>
      <charset val="2"/>
    </font>
    <font>
      <i/>
      <vertAlign val="subscript"/>
      <sz val="7"/>
      <name val="Arial"/>
      <family val="2"/>
    </font>
    <font>
      <i/>
      <sz val="7"/>
      <color indexed="8"/>
      <name val="Arial"/>
      <family val="2"/>
    </font>
    <font>
      <i/>
      <vertAlign val="superscript"/>
      <sz val="7"/>
      <color indexed="8"/>
      <name val="Arial"/>
      <family val="2"/>
    </font>
    <font>
      <sz val="6"/>
      <color indexed="8"/>
      <name val="Arial"/>
      <family val="2"/>
    </font>
    <font>
      <i/>
      <sz val="6"/>
      <name val="Arial"/>
      <family val="2"/>
    </font>
    <font>
      <sz val="8"/>
      <color indexed="8"/>
      <name val="Symbol"/>
      <family val="1"/>
      <charset val="2"/>
    </font>
    <font>
      <vertAlign val="subscript"/>
      <sz val="8"/>
      <color indexed="8"/>
      <name val="Arial"/>
      <family val="2"/>
    </font>
    <font>
      <sz val="7"/>
      <name val="Cambria"/>
      <family val="1"/>
    </font>
    <font>
      <i/>
      <sz val="7"/>
      <color indexed="8"/>
      <name val="Symbol"/>
      <family val="1"/>
      <charset val="2"/>
    </font>
    <font>
      <vertAlign val="superscript"/>
      <sz val="9"/>
      <name val="Arial"/>
      <family val="2"/>
    </font>
    <font>
      <sz val="8"/>
      <color indexed="10"/>
      <name val="Cambria"/>
      <family val="1"/>
    </font>
    <font>
      <sz val="10"/>
      <color indexed="10"/>
      <name val="Arial"/>
      <family val="2"/>
    </font>
    <font>
      <sz val="8"/>
      <color indexed="10"/>
      <name val="Arial"/>
      <family val="2"/>
    </font>
    <font>
      <b/>
      <sz val="8"/>
      <color indexed="10"/>
      <name val="Arial"/>
      <family val="2"/>
    </font>
    <font>
      <sz val="7"/>
      <color indexed="12"/>
      <name val="Arial"/>
      <family val="2"/>
    </font>
    <font>
      <sz val="7"/>
      <color indexed="12"/>
      <name val="Arial"/>
      <family val="2"/>
    </font>
    <font>
      <b/>
      <sz val="7"/>
      <color indexed="12"/>
      <name val="Arial"/>
      <family val="2"/>
    </font>
    <font>
      <sz val="8"/>
      <color indexed="12"/>
      <name val="Arial"/>
      <family val="2"/>
    </font>
    <font>
      <sz val="7"/>
      <color indexed="48"/>
      <name val="Arial"/>
      <family val="2"/>
    </font>
    <font>
      <i/>
      <sz val="8"/>
      <color indexed="8"/>
      <name val="Arial"/>
      <family val="2"/>
    </font>
    <font>
      <u/>
      <sz val="8"/>
      <color indexed="12"/>
      <name val="Arial"/>
      <family val="2"/>
    </font>
    <font>
      <b/>
      <sz val="6"/>
      <name val="Arial"/>
      <family val="2"/>
    </font>
    <font>
      <b/>
      <i/>
      <u/>
      <sz val="9"/>
      <color indexed="12"/>
      <name val="Arial"/>
      <family val="2"/>
    </font>
    <font>
      <vertAlign val="superscript"/>
      <sz val="7"/>
      <color indexed="8"/>
      <name val="Arial"/>
      <family val="2"/>
    </font>
    <font>
      <sz val="3"/>
      <name val="Arial"/>
      <family val="2"/>
    </font>
    <font>
      <sz val="8"/>
      <name val="Calibri"/>
      <family val="2"/>
    </font>
    <font>
      <b/>
      <strike/>
      <sz val="10"/>
      <name val="Arial"/>
      <family val="2"/>
    </font>
    <font>
      <strike/>
      <sz val="7"/>
      <name val="Arial"/>
      <family val="2"/>
    </font>
    <font>
      <i/>
      <sz val="7"/>
      <color indexed="10"/>
      <name val="Arial"/>
      <family val="2"/>
    </font>
    <font>
      <b/>
      <sz val="10"/>
      <color indexed="8"/>
      <name val="Arial"/>
      <family val="2"/>
    </font>
    <font>
      <sz val="11"/>
      <color indexed="8"/>
      <name val="Arial"/>
      <family val="2"/>
    </font>
    <font>
      <vertAlign val="superscript"/>
      <sz val="6"/>
      <color indexed="8"/>
      <name val="Arial"/>
      <family val="2"/>
    </font>
    <font>
      <sz val="9"/>
      <color indexed="8"/>
      <name val="Symbol"/>
      <family val="1"/>
      <charset val="2"/>
    </font>
    <font>
      <sz val="7"/>
      <color indexed="30"/>
      <name val="Arial"/>
      <family val="2"/>
    </font>
    <font>
      <sz val="8"/>
      <color rgb="FF0000CC"/>
      <name val="Arial"/>
      <family val="2"/>
    </font>
    <font>
      <sz val="7"/>
      <color rgb="FF0000CC"/>
      <name val="Arial"/>
      <family val="2"/>
    </font>
    <font>
      <i/>
      <sz val="7"/>
      <color theme="1"/>
      <name val="Arial"/>
      <family val="2"/>
    </font>
    <font>
      <sz val="7"/>
      <color theme="1"/>
      <name val="Arial"/>
      <family val="2"/>
    </font>
    <font>
      <b/>
      <i/>
      <sz val="8"/>
      <color theme="9" tint="-0.499984740745262"/>
      <name val="Arial"/>
      <family val="2"/>
    </font>
    <font>
      <b/>
      <i/>
      <sz val="10"/>
      <color rgb="FF0000CC"/>
      <name val="Arial"/>
      <family val="2"/>
    </font>
    <font>
      <b/>
      <sz val="9"/>
      <color rgb="FF0000CC"/>
      <name val="Arial"/>
      <family val="2"/>
    </font>
    <font>
      <b/>
      <sz val="8"/>
      <color rgb="FFFF0000"/>
      <name val="Arial"/>
      <family val="2"/>
    </font>
    <font>
      <sz val="8"/>
      <color rgb="FF3333FF"/>
      <name val="Arial"/>
      <family val="2"/>
    </font>
    <font>
      <b/>
      <i/>
      <sz val="9"/>
      <color rgb="FF0000CC"/>
      <name val="Arial"/>
      <family val="2"/>
    </font>
    <font>
      <b/>
      <sz val="7"/>
      <color rgb="FF0000CC"/>
      <name val="Arial"/>
      <family val="2"/>
    </font>
    <font>
      <b/>
      <sz val="7"/>
      <color theme="1"/>
      <name val="Arial"/>
      <family val="2"/>
    </font>
    <font>
      <b/>
      <sz val="8"/>
      <color rgb="FF0000CC"/>
      <name val="Arial"/>
      <family val="2"/>
    </font>
    <font>
      <i/>
      <sz val="9"/>
      <color rgb="FF0000CC"/>
      <name val="Arial"/>
      <family val="2"/>
    </font>
    <font>
      <b/>
      <sz val="8"/>
      <color theme="1"/>
      <name val="Arial"/>
      <family val="2"/>
    </font>
    <font>
      <u/>
      <sz val="9"/>
      <color indexed="8"/>
      <name val="Arial"/>
      <family val="2"/>
    </font>
    <font>
      <i/>
      <sz val="11"/>
      <color rgb="FF0000CC"/>
      <name val="Arial"/>
      <family val="2"/>
    </font>
    <font>
      <strike/>
      <sz val="7"/>
      <color indexed="8"/>
      <name val="Arial"/>
      <family val="2"/>
    </font>
    <font>
      <strike/>
      <sz val="8"/>
      <color indexed="8"/>
      <name val="Arial"/>
      <family val="2"/>
    </font>
    <font>
      <sz val="8"/>
      <color rgb="FFFF0000"/>
      <name val="Arial"/>
      <family val="2"/>
    </font>
    <font>
      <sz val="7"/>
      <color rgb="FF008000"/>
      <name val="Arial"/>
      <family val="2"/>
    </font>
    <font>
      <sz val="11"/>
      <color rgb="FF008000"/>
      <name val="Arial"/>
      <family val="2"/>
    </font>
    <font>
      <sz val="7"/>
      <color rgb="FFFF0000"/>
      <name val="Arial"/>
      <family val="2"/>
    </font>
    <font>
      <sz val="7"/>
      <color rgb="FF336600"/>
      <name val="Arial"/>
      <family val="2"/>
    </font>
    <font>
      <b/>
      <sz val="14"/>
      <color rgb="FF336600"/>
      <name val="Arial"/>
      <family val="2"/>
    </font>
    <font>
      <sz val="6"/>
      <color rgb="FF336600"/>
      <name val="Arial"/>
      <family val="2"/>
    </font>
    <font>
      <sz val="7"/>
      <color rgb="FF0000CC"/>
      <name val="Symbol"/>
      <family val="1"/>
      <charset val="2"/>
    </font>
    <font>
      <b/>
      <i/>
      <sz val="8"/>
      <color rgb="FF0000CC"/>
      <name val="Arial"/>
      <family val="2"/>
    </font>
    <font>
      <sz val="8"/>
      <color rgb="FF00B050"/>
      <name val="Arial"/>
      <family val="2"/>
    </font>
    <font>
      <sz val="8"/>
      <color theme="0"/>
      <name val="Arial"/>
      <family val="2"/>
    </font>
    <font>
      <i/>
      <sz val="7"/>
      <color rgb="FFFF0000"/>
      <name val="Arial"/>
      <family val="2"/>
    </font>
    <font>
      <sz val="11"/>
      <name val="Arial"/>
      <family val="2"/>
    </font>
    <font>
      <b/>
      <sz val="7"/>
      <name val="Calibri"/>
      <family val="2"/>
    </font>
    <font>
      <i/>
      <sz val="8"/>
      <color rgb="FF0000CC"/>
      <name val="Arial"/>
      <family val="2"/>
    </font>
    <font>
      <sz val="6"/>
      <color rgb="FFFF0000"/>
      <name val="Arial"/>
      <family val="2"/>
    </font>
    <font>
      <b/>
      <sz val="14"/>
      <name val="Arial"/>
      <family val="2"/>
    </font>
    <font>
      <strike/>
      <sz val="7"/>
      <name val="Cambria"/>
      <family val="1"/>
    </font>
    <font>
      <i/>
      <sz val="7"/>
      <color rgb="FF0000CC"/>
      <name val="Arial"/>
      <family val="2"/>
    </font>
    <font>
      <sz val="5"/>
      <name val="Arial"/>
      <family val="2"/>
    </font>
    <font>
      <b/>
      <sz val="6"/>
      <name val="Calibri"/>
      <family val="2"/>
    </font>
    <font>
      <i/>
      <sz val="6"/>
      <color rgb="FFFF0000"/>
      <name val="Arial"/>
      <family val="2"/>
    </font>
    <font>
      <sz val="7"/>
      <color indexed="8"/>
      <name val="Calibri"/>
      <family val="2"/>
      <scheme val="minor"/>
    </font>
    <font>
      <u/>
      <sz val="7"/>
      <color rgb="FF0000CC"/>
      <name val="Arial"/>
      <family val="2"/>
    </font>
    <font>
      <sz val="6"/>
      <color theme="0"/>
      <name val="Arial"/>
      <family val="2"/>
    </font>
    <font>
      <sz val="6"/>
      <color rgb="FF0000CC"/>
      <name val="Arial"/>
      <family val="2"/>
    </font>
    <font>
      <sz val="7"/>
      <color theme="1"/>
      <name val="Calibri"/>
      <family val="2"/>
    </font>
    <font>
      <b/>
      <u/>
      <sz val="8"/>
      <color theme="1"/>
      <name val="Arial"/>
      <family val="2"/>
    </font>
    <font>
      <b/>
      <sz val="7"/>
      <color rgb="FFFF0000"/>
      <name val="Arial"/>
      <family val="2"/>
    </font>
    <font>
      <b/>
      <sz val="7"/>
      <color theme="7" tint="-0.249977111117893"/>
      <name val="Arial"/>
      <family val="2"/>
    </font>
    <font>
      <sz val="7"/>
      <color theme="7" tint="-0.249977111117893"/>
      <name val="Arial"/>
      <family val="2"/>
    </font>
    <font>
      <sz val="6"/>
      <color theme="7" tint="-0.249977111117893"/>
      <name val="Arial"/>
      <family val="2"/>
    </font>
    <font>
      <i/>
      <sz val="6"/>
      <color rgb="FF0000CC"/>
      <name val="Arial"/>
      <family val="2"/>
    </font>
    <font>
      <b/>
      <i/>
      <sz val="7"/>
      <color rgb="FF0000CC"/>
      <name val="Arial"/>
      <family val="2"/>
    </font>
    <font>
      <b/>
      <sz val="7"/>
      <color indexed="8"/>
      <name val="Calibri"/>
      <family val="2"/>
      <scheme val="minor"/>
    </font>
    <font>
      <b/>
      <sz val="11"/>
      <color rgb="FF0000CC"/>
      <name val="Times New Roman"/>
      <family val="1"/>
    </font>
    <font>
      <sz val="7"/>
      <name val="Calibri"/>
      <family val="2"/>
      <scheme val="minor"/>
    </font>
    <font>
      <sz val="8"/>
      <color rgb="FF0000CC"/>
      <name val="Calibri"/>
      <family val="2"/>
      <scheme val="minor"/>
    </font>
    <font>
      <vertAlign val="superscript"/>
      <sz val="7"/>
      <color indexed="8"/>
      <name val="Calibri"/>
      <family val="2"/>
      <scheme val="minor"/>
    </font>
    <font>
      <sz val="10"/>
      <color rgb="FF0000CC"/>
      <name val="Arial"/>
      <family val="2"/>
    </font>
    <font>
      <strike/>
      <sz val="10"/>
      <color rgb="FF0000CC"/>
      <name val="Arial"/>
      <family val="2"/>
    </font>
    <font>
      <vertAlign val="superscript"/>
      <sz val="7"/>
      <color rgb="FF0000CC"/>
      <name val="Arial"/>
      <family val="2"/>
    </font>
    <font>
      <sz val="7"/>
      <color rgb="FF0000CC"/>
      <name val="Calibri"/>
      <family val="2"/>
    </font>
    <font>
      <sz val="7"/>
      <color rgb="FF0000CC"/>
      <name val="Calibri"/>
      <family val="2"/>
      <scheme val="minor"/>
    </font>
    <font>
      <b/>
      <i/>
      <sz val="9"/>
      <color rgb="FF00B050"/>
      <name val="Arial"/>
      <family val="2"/>
    </font>
    <font>
      <b/>
      <sz val="10"/>
      <color rgb="FF0000CC"/>
      <name val="Arial"/>
      <family val="2"/>
    </font>
    <font>
      <sz val="8"/>
      <color rgb="FF0000CC"/>
      <name val="Calibri"/>
      <family val="2"/>
    </font>
    <font>
      <vertAlign val="superscript"/>
      <sz val="9"/>
      <color indexed="8"/>
      <name val="Arial"/>
      <family val="2"/>
    </font>
    <font>
      <sz val="8"/>
      <color indexed="8"/>
      <name val="Calibri"/>
      <family val="2"/>
    </font>
    <font>
      <sz val="7"/>
      <color rgb="FF3333FF"/>
      <name val="Arial"/>
      <family val="2"/>
    </font>
    <font>
      <sz val="6"/>
      <color rgb="FF3333FF"/>
      <name val="Arial"/>
      <family val="2"/>
    </font>
    <font>
      <sz val="7"/>
      <color rgb="FF3333FF"/>
      <name val="Calibri"/>
      <family val="2"/>
      <scheme val="minor"/>
    </font>
    <font>
      <sz val="6.5"/>
      <color indexed="8"/>
      <name val="Arial"/>
      <family val="2"/>
    </font>
    <font>
      <b/>
      <sz val="8"/>
      <color rgb="FF3333FF"/>
      <name val="Arial"/>
      <family val="2"/>
    </font>
    <font>
      <sz val="6"/>
      <color rgb="FF3333FF"/>
      <name val="Calibri"/>
      <family val="2"/>
      <scheme val="minor"/>
    </font>
    <font>
      <sz val="11"/>
      <color rgb="FF3333FF"/>
      <name val="Arial"/>
      <family val="2"/>
    </font>
    <font>
      <i/>
      <sz val="6"/>
      <color rgb="FF3333FF"/>
      <name val="Arial"/>
      <family val="2"/>
    </font>
    <font>
      <i/>
      <sz val="7"/>
      <color rgb="FF3333FF"/>
      <name val="Arial"/>
      <family val="2"/>
    </font>
    <font>
      <sz val="6.5"/>
      <color rgb="FF3333FF"/>
      <name val="Arial"/>
      <family val="2"/>
    </font>
    <font>
      <vertAlign val="superscript"/>
      <sz val="6"/>
      <color rgb="FF3333FF"/>
      <name val="Arial"/>
      <family val="2"/>
    </font>
    <font>
      <sz val="9"/>
      <color rgb="FF3333FF"/>
      <name val="Arial"/>
      <family val="2"/>
    </font>
    <font>
      <b/>
      <i/>
      <sz val="6"/>
      <color rgb="FF3333FF"/>
      <name val="Arial"/>
      <family val="2"/>
    </font>
    <font>
      <sz val="8"/>
      <name val="Calibri"/>
      <family val="2"/>
      <scheme val="minor"/>
    </font>
    <font>
      <b/>
      <sz val="8"/>
      <color indexed="8"/>
      <name val="Calibri"/>
      <family val="2"/>
      <scheme val="minor"/>
    </font>
    <font>
      <b/>
      <sz val="8"/>
      <name val="Calibri"/>
      <family val="2"/>
    </font>
    <font>
      <sz val="8"/>
      <color rgb="FFFF0000"/>
      <name val="Calibri"/>
      <family val="2"/>
      <scheme val="minor"/>
    </font>
    <font>
      <sz val="11"/>
      <color indexed="8"/>
      <name val="Calibri"/>
      <family val="2"/>
    </font>
    <font>
      <b/>
      <sz val="7"/>
      <color rgb="FFFF0000"/>
      <name val="Calibri"/>
      <family val="2"/>
      <scheme val="minor"/>
    </font>
    <font>
      <sz val="7"/>
      <color rgb="FF3333CC"/>
      <name val="Arial"/>
      <family val="2"/>
    </font>
    <font>
      <sz val="8"/>
      <color indexed="8"/>
      <name val="Calibri"/>
      <family val="2"/>
      <scheme val="minor"/>
    </font>
    <font>
      <sz val="9"/>
      <color theme="1"/>
      <name val="Arial"/>
      <family val="2"/>
    </font>
    <font>
      <i/>
      <sz val="9"/>
      <color indexed="8"/>
      <name val="Arial"/>
      <family val="2"/>
    </font>
    <font>
      <i/>
      <sz val="9"/>
      <name val="Arial"/>
      <family val="2"/>
    </font>
    <font>
      <i/>
      <sz val="10"/>
      <color indexed="8"/>
      <name val="Arial"/>
      <family val="2"/>
    </font>
    <font>
      <i/>
      <sz val="10"/>
      <name val="Arial"/>
      <family val="2"/>
    </font>
    <font>
      <b/>
      <sz val="8"/>
      <color rgb="FF3333FF"/>
      <name val="Calibri"/>
      <family val="2"/>
      <scheme val="minor"/>
    </font>
    <font>
      <sz val="6"/>
      <name val="Calibri"/>
      <family val="2"/>
    </font>
    <font>
      <sz val="8.9"/>
      <name val="Arial"/>
      <family val="2"/>
    </font>
    <font>
      <sz val="5"/>
      <color rgb="FF0000CC"/>
      <name val="Arial"/>
      <family val="2"/>
    </font>
    <font>
      <b/>
      <sz val="7"/>
      <name val="Calibri"/>
      <family val="2"/>
      <scheme val="minor"/>
    </font>
    <font>
      <vertAlign val="superscript"/>
      <sz val="7"/>
      <name val="Calibri"/>
      <family val="2"/>
      <scheme val="minor"/>
    </font>
    <font>
      <i/>
      <sz val="6"/>
      <name val="Calibri"/>
      <family val="2"/>
      <scheme val="minor"/>
    </font>
    <font>
      <sz val="6"/>
      <name val="Calibri"/>
      <family val="2"/>
      <scheme val="minor"/>
    </font>
    <font>
      <sz val="5"/>
      <color indexed="8"/>
      <name val="Arial"/>
      <family val="2"/>
    </font>
    <font>
      <b/>
      <i/>
      <sz val="6"/>
      <color rgb="FF0000CC"/>
      <name val="Arial"/>
      <family val="2"/>
    </font>
    <font>
      <b/>
      <sz val="9"/>
      <color theme="1"/>
      <name val="Calibri"/>
      <family val="2"/>
      <scheme val="minor"/>
    </font>
    <font>
      <sz val="9"/>
      <color theme="1"/>
      <name val="Calibri"/>
      <family val="2"/>
      <scheme val="minor"/>
    </font>
    <font>
      <sz val="11"/>
      <color indexed="8"/>
      <name val="Calibri"/>
      <family val="2"/>
      <scheme val="minor"/>
    </font>
    <font>
      <b/>
      <i/>
      <sz val="7"/>
      <name val="Calibri"/>
      <family val="2"/>
      <scheme val="minor"/>
    </font>
    <font>
      <sz val="9"/>
      <color indexed="8"/>
      <name val="Calibri"/>
      <family val="2"/>
      <scheme val="minor"/>
    </font>
    <font>
      <vertAlign val="superscript"/>
      <sz val="9"/>
      <color theme="1"/>
      <name val="Calibri"/>
      <family val="2"/>
      <scheme val="minor"/>
    </font>
    <font>
      <b/>
      <sz val="6"/>
      <color rgb="FF0000CC"/>
      <name val="Arial"/>
      <family val="2"/>
    </font>
    <font>
      <sz val="8"/>
      <color rgb="FF3333FF"/>
      <name val="Calibri"/>
      <family val="2"/>
    </font>
    <font>
      <b/>
      <sz val="7"/>
      <color rgb="FF3333FF"/>
      <name val="Arial"/>
      <family val="2"/>
    </font>
  </fonts>
  <fills count="21">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42"/>
        <bgColor indexed="64"/>
      </patternFill>
    </fill>
    <fill>
      <patternFill patternType="solid">
        <fgColor theme="2"/>
        <bgColor indexed="64"/>
      </patternFill>
    </fill>
    <fill>
      <patternFill patternType="solid">
        <fgColor rgb="FF99CCFF"/>
        <bgColor indexed="64"/>
      </patternFill>
    </fill>
    <fill>
      <patternFill patternType="solid">
        <fgColor rgb="FFFFFFCC"/>
        <bgColor indexed="64"/>
      </patternFill>
    </fill>
    <fill>
      <patternFill patternType="solid">
        <fgColor theme="0" tint="-4.9989318521683403E-2"/>
        <bgColor indexed="64"/>
      </patternFill>
    </fill>
    <fill>
      <patternFill patternType="solid">
        <fgColor rgb="FFCCFFCC"/>
        <bgColor indexed="64"/>
      </patternFill>
    </fill>
    <fill>
      <patternFill patternType="solid">
        <fgColor rgb="FFE7FFFF"/>
        <bgColor indexed="64"/>
      </patternFill>
    </fill>
    <fill>
      <patternFill patternType="solid">
        <fgColor rgb="FFFFE7FF"/>
        <bgColor indexed="64"/>
      </patternFill>
    </fill>
    <fill>
      <patternFill patternType="solid">
        <fgColor rgb="FFEBFFFF"/>
        <bgColor indexed="64"/>
      </patternFill>
    </fill>
    <fill>
      <patternFill patternType="solid">
        <fgColor rgb="FFDDFFFF"/>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rgb="FFFFF3FF"/>
        <bgColor indexed="64"/>
      </patternFill>
    </fill>
    <fill>
      <patternFill patternType="solid">
        <fgColor rgb="FFFFFFE1"/>
        <bgColor indexed="64"/>
      </patternFill>
    </fill>
    <fill>
      <patternFill patternType="solid">
        <fgColor rgb="FFF0F5FA"/>
        <bgColor indexed="64"/>
      </patternFill>
    </fill>
    <fill>
      <patternFill patternType="solid">
        <fgColor theme="6" tint="0.59999389629810485"/>
        <bgColor indexed="64"/>
      </patternFill>
    </fill>
  </fills>
  <borders count="282">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style="hair">
        <color indexed="64"/>
      </left>
      <right/>
      <top style="thin">
        <color indexed="64"/>
      </top>
      <bottom style="thin">
        <color indexed="64"/>
      </bottom>
      <diagonal/>
    </border>
    <border>
      <left/>
      <right/>
      <top/>
      <bottom style="hair">
        <color indexed="64"/>
      </bottom>
      <diagonal/>
    </border>
    <border>
      <left/>
      <right/>
      <top style="thin">
        <color indexed="64"/>
      </top>
      <bottom style="thin">
        <color indexed="64"/>
      </bottom>
      <diagonal/>
    </border>
    <border>
      <left/>
      <right style="thin">
        <color indexed="64"/>
      </right>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hair">
        <color indexed="64"/>
      </bottom>
      <diagonal/>
    </border>
    <border>
      <left/>
      <right style="thin">
        <color indexed="64"/>
      </right>
      <top/>
      <bottom style="thin">
        <color indexed="64"/>
      </bottom>
      <diagonal/>
    </border>
    <border>
      <left/>
      <right style="thin">
        <color indexed="64"/>
      </right>
      <top style="hair">
        <color indexed="64"/>
      </top>
      <bottom style="thin">
        <color indexed="64"/>
      </bottom>
      <diagonal/>
    </border>
    <border>
      <left/>
      <right/>
      <top/>
      <bottom style="thin">
        <color indexed="64"/>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right style="thin">
        <color indexed="64"/>
      </right>
      <top/>
      <bottom/>
      <diagonal/>
    </border>
    <border>
      <left/>
      <right style="hair">
        <color indexed="64"/>
      </right>
      <top style="thin">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bottom style="thin">
        <color indexed="64"/>
      </bottom>
      <diagonal/>
    </border>
    <border>
      <left/>
      <right style="medium">
        <color indexed="64"/>
      </right>
      <top style="thin">
        <color indexed="64"/>
      </top>
      <bottom style="hair">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hair">
        <color indexed="64"/>
      </top>
      <bottom style="medium">
        <color indexed="64"/>
      </bottom>
      <diagonal/>
    </border>
    <border>
      <left/>
      <right style="thin">
        <color indexed="64"/>
      </right>
      <top/>
      <bottom style="medium">
        <color indexed="64"/>
      </bottom>
      <diagonal/>
    </border>
    <border>
      <left style="thin">
        <color indexed="64"/>
      </left>
      <right/>
      <top style="thin">
        <color indexed="64"/>
      </top>
      <bottom style="hair">
        <color indexed="64"/>
      </bottom>
      <diagonal/>
    </border>
    <border>
      <left style="thin">
        <color indexed="64"/>
      </left>
      <right/>
      <top style="thin">
        <color indexed="64"/>
      </top>
      <bottom style="thin">
        <color indexed="64"/>
      </bottom>
      <diagonal/>
    </border>
    <border>
      <left style="thin">
        <color indexed="64"/>
      </left>
      <right/>
      <top style="hair">
        <color indexed="64"/>
      </top>
      <bottom style="thin">
        <color indexed="64"/>
      </bottom>
      <diagonal/>
    </border>
    <border>
      <left style="thin">
        <color indexed="64"/>
      </left>
      <right/>
      <top/>
      <bottom style="hair">
        <color indexed="64"/>
      </bottom>
      <diagonal/>
    </border>
    <border>
      <left style="thin">
        <color indexed="64"/>
      </left>
      <right/>
      <top/>
      <bottom style="thin">
        <color indexed="64"/>
      </bottom>
      <diagonal/>
    </border>
    <border>
      <left/>
      <right style="medium">
        <color indexed="64"/>
      </right>
      <top style="thin">
        <color indexed="64"/>
      </top>
      <bottom style="thin">
        <color indexed="64"/>
      </bottom>
      <diagonal/>
    </border>
    <border>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medium">
        <color indexed="64"/>
      </left>
      <right style="hair">
        <color indexed="64"/>
      </right>
      <top/>
      <bottom/>
      <diagonal/>
    </border>
    <border>
      <left/>
      <right style="medium">
        <color indexed="64"/>
      </right>
      <top/>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diagonal/>
    </border>
    <border>
      <left style="hair">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style="thin">
        <color indexed="64"/>
      </left>
      <right/>
      <top style="hair">
        <color indexed="64"/>
      </top>
      <bottom style="hair">
        <color indexed="64"/>
      </bottom>
      <diagonal/>
    </border>
    <border>
      <left style="hair">
        <color indexed="64"/>
      </left>
      <right/>
      <top style="double">
        <color indexed="64"/>
      </top>
      <bottom style="hair">
        <color indexed="64"/>
      </bottom>
      <diagonal/>
    </border>
    <border>
      <left style="thin">
        <color indexed="64"/>
      </left>
      <right style="hair">
        <color indexed="64"/>
      </right>
      <top/>
      <bottom style="thin">
        <color indexed="64"/>
      </bottom>
      <diagonal/>
    </border>
    <border>
      <left/>
      <right/>
      <top/>
      <bottom style="medium">
        <color indexed="64"/>
      </bottom>
      <diagonal/>
    </border>
    <border>
      <left style="medium">
        <color indexed="64"/>
      </left>
      <right/>
      <top/>
      <bottom/>
      <diagonal/>
    </border>
    <border>
      <left style="medium">
        <color indexed="64"/>
      </left>
      <right/>
      <top/>
      <bottom style="thin">
        <color indexed="64"/>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hair">
        <color indexed="64"/>
      </left>
      <right/>
      <top style="hair">
        <color indexed="64"/>
      </top>
      <bottom/>
      <diagonal/>
    </border>
    <border>
      <left style="medium">
        <color indexed="64"/>
      </left>
      <right/>
      <top style="medium">
        <color indexed="64"/>
      </top>
      <bottom style="hair">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right style="hair">
        <color indexed="64"/>
      </right>
      <top style="hair">
        <color indexed="64"/>
      </top>
      <bottom style="double">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medium">
        <color indexed="64"/>
      </left>
      <right/>
      <top/>
      <bottom style="double">
        <color indexed="64"/>
      </bottom>
      <diagonal/>
    </border>
    <border>
      <left style="thin">
        <color indexed="64"/>
      </left>
      <right style="hair">
        <color indexed="64"/>
      </right>
      <top style="thin">
        <color indexed="64"/>
      </top>
      <bottom/>
      <diagonal/>
    </border>
    <border>
      <left style="medium">
        <color indexed="64"/>
      </left>
      <right/>
      <top/>
      <bottom style="medium">
        <color indexed="64"/>
      </bottom>
      <diagonal/>
    </border>
    <border>
      <left style="thin">
        <color indexed="64"/>
      </left>
      <right style="thin">
        <color indexed="64"/>
      </right>
      <top style="hair">
        <color indexed="64"/>
      </top>
      <bottom style="thin">
        <color indexed="64"/>
      </bottom>
      <diagonal/>
    </border>
    <border>
      <left/>
      <right/>
      <top style="medium">
        <color indexed="64"/>
      </top>
      <bottom style="medium">
        <color indexed="64"/>
      </bottom>
      <diagonal/>
    </border>
    <border>
      <left style="hair">
        <color indexed="64"/>
      </left>
      <right/>
      <top/>
      <bottom style="medium">
        <color indexed="64"/>
      </bottom>
      <diagonal/>
    </border>
    <border>
      <left style="thin">
        <color indexed="64"/>
      </left>
      <right/>
      <top style="hair">
        <color indexed="64"/>
      </top>
      <bottom style="medium">
        <color indexed="64"/>
      </bottom>
      <diagonal/>
    </border>
    <border>
      <left/>
      <right style="thin">
        <color indexed="64"/>
      </right>
      <top style="medium">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diagonal/>
    </border>
    <border>
      <left style="hair">
        <color indexed="64"/>
      </left>
      <right style="medium">
        <color indexed="64"/>
      </right>
      <top style="thin">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hair">
        <color indexed="64"/>
      </top>
      <bottom style="thin">
        <color indexed="64"/>
      </bottom>
      <diagonal/>
    </border>
    <border>
      <left style="medium">
        <color indexed="64"/>
      </left>
      <right/>
      <top style="double">
        <color indexed="64"/>
      </top>
      <bottom style="thin">
        <color indexed="64"/>
      </bottom>
      <diagonal/>
    </border>
    <border>
      <left/>
      <right/>
      <top style="double">
        <color indexed="64"/>
      </top>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diagonal/>
    </border>
    <border>
      <left style="hair">
        <color indexed="64"/>
      </left>
      <right style="medium">
        <color indexed="64"/>
      </right>
      <top/>
      <bottom style="thin">
        <color indexed="64"/>
      </bottom>
      <diagonal/>
    </border>
    <border>
      <left style="thin">
        <color indexed="64"/>
      </left>
      <right style="thin">
        <color indexed="64"/>
      </right>
      <top style="double">
        <color indexed="64"/>
      </top>
      <bottom/>
      <diagonal/>
    </border>
    <border>
      <left style="medium">
        <color indexed="64"/>
      </left>
      <right style="thin">
        <color indexed="64"/>
      </right>
      <top style="hair">
        <color indexed="64"/>
      </top>
      <bottom/>
      <diagonal/>
    </border>
    <border>
      <left style="medium">
        <color indexed="64"/>
      </left>
      <right/>
      <top style="thin">
        <color indexed="64"/>
      </top>
      <bottom/>
      <diagonal/>
    </border>
    <border>
      <left style="medium">
        <color indexed="64"/>
      </left>
      <right/>
      <top style="hair">
        <color indexed="64"/>
      </top>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style="double">
        <color indexed="64"/>
      </bottom>
      <diagonal/>
    </border>
    <border>
      <left style="hair">
        <color indexed="64"/>
      </left>
      <right style="thin">
        <color indexed="64"/>
      </right>
      <top/>
      <bottom style="thin">
        <color indexed="64"/>
      </bottom>
      <diagonal/>
    </border>
    <border>
      <left/>
      <right/>
      <top style="hair">
        <color indexed="64"/>
      </top>
      <bottom/>
      <diagonal/>
    </border>
    <border>
      <left style="medium">
        <color indexed="64"/>
      </left>
      <right/>
      <top style="thin">
        <color indexed="64"/>
      </top>
      <bottom style="hair">
        <color indexed="64"/>
      </bottom>
      <diagonal/>
    </border>
    <border>
      <left style="medium">
        <color indexed="64"/>
      </left>
      <right/>
      <top style="hair">
        <color indexed="64"/>
      </top>
      <bottom style="medium">
        <color indexed="64"/>
      </bottom>
      <diagonal/>
    </border>
    <border diagonalDown="1">
      <left style="medium">
        <color indexed="64"/>
      </left>
      <right/>
      <top/>
      <bottom/>
      <diagonal style="hair">
        <color indexed="64"/>
      </diagonal>
    </border>
    <border diagonalDown="1">
      <left/>
      <right/>
      <top/>
      <bottom/>
      <diagonal style="hair">
        <color indexed="64"/>
      </diagonal>
    </border>
    <border diagonalDown="1">
      <left style="thin">
        <color indexed="64"/>
      </left>
      <right style="thin">
        <color indexed="64"/>
      </right>
      <top/>
      <bottom/>
      <diagonal style="hair">
        <color indexed="64"/>
      </diagonal>
    </border>
    <border>
      <left/>
      <right/>
      <top style="medium">
        <color indexed="64"/>
      </top>
      <bottom style="thin">
        <color indexed="64"/>
      </bottom>
      <diagonal/>
    </border>
    <border>
      <left/>
      <right style="medium">
        <color indexed="64"/>
      </right>
      <top style="hair">
        <color indexed="64"/>
      </top>
      <bottom/>
      <diagonal/>
    </border>
    <border>
      <left style="thin">
        <color indexed="64"/>
      </left>
      <right/>
      <top style="hair">
        <color indexed="64"/>
      </top>
      <bottom style="double">
        <color indexed="64"/>
      </bottom>
      <diagonal/>
    </border>
    <border diagonalUp="1">
      <left style="medium">
        <color indexed="64"/>
      </left>
      <right style="thin">
        <color indexed="64"/>
      </right>
      <top style="hair">
        <color indexed="64"/>
      </top>
      <bottom/>
      <diagonal style="thin">
        <color indexed="64"/>
      </diagonal>
    </border>
    <border>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style="hair">
        <color indexed="64"/>
      </top>
      <bottom/>
      <diagonal/>
    </border>
    <border>
      <left style="thin">
        <color indexed="64"/>
      </left>
      <right style="hair">
        <color indexed="64"/>
      </right>
      <top/>
      <bottom style="medium">
        <color indexed="64"/>
      </bottom>
      <diagonal/>
    </border>
    <border>
      <left style="thin">
        <color indexed="64"/>
      </left>
      <right style="thin">
        <color indexed="64"/>
      </right>
      <top/>
      <bottom style="double">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medium">
        <color indexed="64"/>
      </bottom>
      <diagonal/>
    </border>
    <border>
      <left style="thin">
        <color indexed="64"/>
      </left>
      <right style="hair">
        <color indexed="64"/>
      </right>
      <top style="hair">
        <color indexed="64"/>
      </top>
      <bottom style="double">
        <color indexed="64"/>
      </bottom>
      <diagonal/>
    </border>
    <border>
      <left style="thin">
        <color indexed="64"/>
      </left>
      <right style="hair">
        <color indexed="64"/>
      </right>
      <top/>
      <bottom style="hair">
        <color indexed="64"/>
      </bottom>
      <diagonal/>
    </border>
    <border>
      <left style="medium">
        <color indexed="64"/>
      </left>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double">
        <color indexed="64"/>
      </bottom>
      <diagonal/>
    </border>
    <border>
      <left style="thin">
        <color indexed="64"/>
      </left>
      <right/>
      <top style="thin">
        <color indexed="64"/>
      </top>
      <bottom/>
      <diagonal/>
    </border>
    <border>
      <left style="thin">
        <color indexed="64"/>
      </left>
      <right style="thin">
        <color indexed="64"/>
      </right>
      <top style="hair">
        <color indexed="64"/>
      </top>
      <bottom/>
      <diagonal/>
    </border>
    <border>
      <left/>
      <right style="thin">
        <color indexed="64"/>
      </right>
      <top/>
      <bottom style="double">
        <color indexed="64"/>
      </bottom>
      <diagonal/>
    </border>
    <border>
      <left style="hair">
        <color indexed="64"/>
      </left>
      <right style="thin">
        <color indexed="64"/>
      </right>
      <top/>
      <bottom style="hair">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top/>
      <bottom style="double">
        <color indexed="64"/>
      </bottom>
      <diagonal/>
    </border>
    <border>
      <left style="hair">
        <color indexed="64"/>
      </left>
      <right style="hair">
        <color indexed="64"/>
      </right>
      <top/>
      <bottom style="double">
        <color indexed="64"/>
      </bottom>
      <diagonal/>
    </border>
    <border>
      <left/>
      <right style="hair">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style="double">
        <color indexed="64"/>
      </bottom>
      <diagonal/>
    </border>
    <border>
      <left/>
      <right style="hair">
        <color indexed="64"/>
      </right>
      <top style="thin">
        <color indexed="64"/>
      </top>
      <bottom style="double">
        <color indexed="64"/>
      </bottom>
      <diagonal/>
    </border>
    <border>
      <left/>
      <right style="hair">
        <color indexed="64"/>
      </right>
      <top style="thin">
        <color indexed="64"/>
      </top>
      <bottom/>
      <diagonal/>
    </border>
    <border>
      <left style="thin">
        <color indexed="64"/>
      </left>
      <right style="hair">
        <color indexed="64"/>
      </right>
      <top/>
      <bottom style="double">
        <color indexed="64"/>
      </bottom>
      <diagonal/>
    </border>
    <border>
      <left/>
      <right style="thin">
        <color indexed="64"/>
      </right>
      <top style="hair">
        <color indexed="64"/>
      </top>
      <bottom/>
      <diagonal/>
    </border>
    <border>
      <left style="hair">
        <color indexed="64"/>
      </left>
      <right style="hair">
        <color indexed="64"/>
      </right>
      <top style="hair">
        <color indexed="64"/>
      </top>
      <bottom/>
      <diagonal/>
    </border>
    <border>
      <left/>
      <right style="hair">
        <color indexed="64"/>
      </right>
      <top/>
      <bottom style="double">
        <color indexed="64"/>
      </bottom>
      <diagonal/>
    </border>
    <border>
      <left style="hair">
        <color indexed="64"/>
      </left>
      <right/>
      <top/>
      <bottom style="double">
        <color indexed="64"/>
      </bottom>
      <diagonal/>
    </border>
    <border>
      <left style="hair">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hair">
        <color indexed="64"/>
      </right>
      <top style="thin">
        <color indexed="64"/>
      </top>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hair">
        <color indexed="64"/>
      </bottom>
      <diagonal/>
    </border>
    <border>
      <left/>
      <right style="hair">
        <color indexed="64"/>
      </right>
      <top/>
      <bottom style="medium">
        <color indexed="64"/>
      </bottom>
      <diagonal/>
    </border>
    <border>
      <left/>
      <right style="thin">
        <color indexed="64"/>
      </right>
      <top style="medium">
        <color indexed="64"/>
      </top>
      <bottom style="hair">
        <color indexed="64"/>
      </bottom>
      <diagonal/>
    </border>
    <border>
      <left style="medium">
        <color indexed="64"/>
      </left>
      <right/>
      <top style="medium">
        <color indexed="64"/>
      </top>
      <bottom style="double">
        <color indexed="64"/>
      </bottom>
      <diagonal/>
    </border>
    <border>
      <left/>
      <right style="hair">
        <color indexed="64"/>
      </right>
      <top style="medium">
        <color indexed="64"/>
      </top>
      <bottom style="double">
        <color indexed="64"/>
      </bottom>
      <diagonal/>
    </border>
    <border>
      <left style="hair">
        <color indexed="64"/>
      </left>
      <right/>
      <top style="medium">
        <color indexed="64"/>
      </top>
      <bottom style="thin">
        <color indexed="64"/>
      </bottom>
      <diagonal/>
    </border>
    <border>
      <left style="hair">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right style="medium">
        <color indexed="64"/>
      </right>
      <top style="hair">
        <color indexed="64"/>
      </top>
      <bottom style="double">
        <color indexed="64"/>
      </bottom>
      <diagonal/>
    </border>
    <border>
      <left/>
      <right style="hair">
        <color indexed="64"/>
      </right>
      <top style="medium">
        <color indexed="64"/>
      </top>
      <bottom style="hair">
        <color indexed="64"/>
      </bottom>
      <diagonal/>
    </border>
    <border>
      <left style="hair">
        <color indexed="64"/>
      </left>
      <right/>
      <top style="double">
        <color indexed="64"/>
      </top>
      <bottom style="thin">
        <color indexed="64"/>
      </bottom>
      <diagonal/>
    </border>
    <border>
      <left/>
      <right style="hair">
        <color indexed="64"/>
      </right>
      <top style="double">
        <color indexed="64"/>
      </top>
      <bottom style="thin">
        <color indexed="64"/>
      </bottom>
      <diagonal/>
    </border>
    <border>
      <left style="hair">
        <color indexed="64"/>
      </left>
      <right/>
      <top style="medium">
        <color indexed="64"/>
      </top>
      <bottom style="hair">
        <color indexed="64"/>
      </bottom>
      <diagonal/>
    </border>
    <border>
      <left style="thin">
        <color indexed="64"/>
      </left>
      <right style="thin">
        <color indexed="64"/>
      </right>
      <top style="medium">
        <color indexed="64"/>
      </top>
      <bottom/>
      <diagonal/>
    </border>
    <border>
      <left style="hair">
        <color indexed="64"/>
      </left>
      <right style="hair">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thin">
        <color indexed="64"/>
      </left>
      <right/>
      <top/>
      <bottom style="double">
        <color indexed="64"/>
      </bottom>
      <diagonal/>
    </border>
    <border>
      <left/>
      <right style="medium">
        <color indexed="64"/>
      </right>
      <top style="thin">
        <color indexed="64"/>
      </top>
      <bottom style="double">
        <color indexed="64"/>
      </bottom>
      <diagonal/>
    </border>
    <border>
      <left/>
      <right/>
      <top style="thin">
        <color indexed="64"/>
      </top>
      <bottom style="medium">
        <color indexed="64"/>
      </bottom>
      <diagonal/>
    </border>
    <border>
      <left style="hair">
        <color indexed="64"/>
      </left>
      <right style="thin">
        <color indexed="64"/>
      </right>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hair">
        <color indexed="64"/>
      </left>
      <right/>
      <top style="thin">
        <color indexed="64"/>
      </top>
      <bottom style="double">
        <color indexed="64"/>
      </bottom>
      <diagonal/>
    </border>
    <border>
      <left style="thin">
        <color indexed="64"/>
      </left>
      <right/>
      <top style="thin">
        <color indexed="64"/>
      </top>
      <bottom style="double">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thin">
        <color indexed="64"/>
      </right>
      <top style="hair">
        <color indexed="64"/>
      </top>
      <bottom/>
      <diagonal/>
    </border>
    <border>
      <left style="medium">
        <color indexed="64"/>
      </left>
      <right style="hair">
        <color indexed="64"/>
      </right>
      <top style="double">
        <color indexed="64"/>
      </top>
      <bottom/>
      <diagonal/>
    </border>
    <border>
      <left style="medium">
        <color indexed="64"/>
      </left>
      <right style="hair">
        <color indexed="64"/>
      </right>
      <top style="hair">
        <color indexed="64"/>
      </top>
      <bottom style="hair">
        <color indexed="64"/>
      </bottom>
      <diagonal/>
    </border>
    <border>
      <left/>
      <right style="hair">
        <color indexed="64"/>
      </right>
      <top style="thin">
        <color indexed="64"/>
      </top>
      <bottom style="medium">
        <color indexed="64"/>
      </bottom>
      <diagonal/>
    </border>
    <border>
      <left/>
      <right/>
      <top style="medium">
        <color indexed="64"/>
      </top>
      <bottom style="double">
        <color indexed="64"/>
      </bottom>
      <diagonal/>
    </border>
    <border>
      <left style="thin">
        <color indexed="64"/>
      </left>
      <right style="hair">
        <color indexed="64"/>
      </right>
      <top style="hair">
        <color indexed="64"/>
      </top>
      <bottom style="medium">
        <color indexed="64"/>
      </bottom>
      <diagonal/>
    </border>
    <border>
      <left/>
      <right style="medium">
        <color indexed="64"/>
      </right>
      <top style="double">
        <color indexed="64"/>
      </top>
      <bottom style="hair">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top style="thick">
        <color indexed="64"/>
      </top>
      <bottom style="dotted">
        <color indexed="64"/>
      </bottom>
      <diagonal/>
    </border>
    <border>
      <left/>
      <right/>
      <top style="thick">
        <color indexed="64"/>
      </top>
      <bottom style="dotted">
        <color indexed="64"/>
      </bottom>
      <diagonal/>
    </border>
    <border>
      <left/>
      <right style="thick">
        <color indexed="64"/>
      </right>
      <top style="thick">
        <color indexed="64"/>
      </top>
      <bottom style="dotted">
        <color indexed="64"/>
      </bottom>
      <diagonal/>
    </border>
    <border>
      <left style="thick">
        <color indexed="64"/>
      </left>
      <right style="medium">
        <color indexed="64"/>
      </right>
      <top/>
      <bottom/>
      <diagonal/>
    </border>
    <border>
      <left style="medium">
        <color indexed="64"/>
      </left>
      <right style="medium">
        <color indexed="64"/>
      </right>
      <top/>
      <bottom/>
      <diagonal/>
    </border>
    <border>
      <left/>
      <right style="dotted">
        <color indexed="64"/>
      </right>
      <top/>
      <bottom/>
      <diagonal/>
    </border>
    <border>
      <left style="dotted">
        <color indexed="64"/>
      </left>
      <right style="dotted">
        <color indexed="64"/>
      </right>
      <top style="dotted">
        <color indexed="64"/>
      </top>
      <bottom/>
      <diagonal/>
    </border>
    <border>
      <left style="dotted">
        <color indexed="64"/>
      </left>
      <right style="thick">
        <color indexed="64"/>
      </right>
      <top style="dotted">
        <color indexed="64"/>
      </top>
      <bottom/>
      <diagonal/>
    </border>
    <border>
      <left style="thick">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thick">
        <color indexed="64"/>
      </right>
      <top/>
      <bottom style="medium">
        <color indexed="64"/>
      </bottom>
      <diagonal/>
    </border>
    <border>
      <left/>
      <right/>
      <top style="medium">
        <color indexed="64"/>
      </top>
      <bottom/>
      <diagonal/>
    </border>
    <border>
      <left/>
      <right style="thick">
        <color indexed="64"/>
      </right>
      <top style="medium">
        <color indexed="64"/>
      </top>
      <bottom/>
      <diagonal/>
    </border>
    <border>
      <left/>
      <right style="thick">
        <color indexed="64"/>
      </right>
      <top/>
      <bottom style="medium">
        <color indexed="64"/>
      </bottom>
      <diagonal/>
    </border>
    <border>
      <left style="medium">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thick">
        <color indexed="64"/>
      </right>
      <top style="medium">
        <color indexed="64"/>
      </top>
      <bottom/>
      <diagonal/>
    </border>
    <border>
      <left style="medium">
        <color indexed="64"/>
      </left>
      <right style="dotted">
        <color indexed="64"/>
      </right>
      <top/>
      <bottom/>
      <diagonal/>
    </border>
    <border>
      <left style="dotted">
        <color indexed="64"/>
      </left>
      <right style="dotted">
        <color indexed="64"/>
      </right>
      <top/>
      <bottom/>
      <diagonal/>
    </border>
    <border>
      <left style="dotted">
        <color indexed="64"/>
      </left>
      <right style="thick">
        <color indexed="64"/>
      </right>
      <top/>
      <bottom/>
      <diagonal/>
    </border>
    <border>
      <left style="medium">
        <color indexed="64"/>
      </left>
      <right style="dotted">
        <color indexed="64"/>
      </right>
      <top/>
      <bottom style="medium">
        <color indexed="64"/>
      </bottom>
      <diagonal/>
    </border>
    <border>
      <left style="thick">
        <color indexed="64"/>
      </left>
      <right style="medium">
        <color indexed="64"/>
      </right>
      <top/>
      <bottom style="thick">
        <color indexed="64"/>
      </bottom>
      <diagonal/>
    </border>
    <border>
      <left/>
      <right style="medium">
        <color indexed="64"/>
      </right>
      <top/>
      <bottom style="thick">
        <color indexed="64"/>
      </bottom>
      <diagonal/>
    </border>
    <border>
      <left style="medium">
        <color indexed="64"/>
      </left>
      <right style="dotted">
        <color indexed="64"/>
      </right>
      <top/>
      <bottom style="thick">
        <color indexed="64"/>
      </bottom>
      <diagonal/>
    </border>
    <border>
      <left style="dotted">
        <color indexed="64"/>
      </left>
      <right style="dotted">
        <color indexed="64"/>
      </right>
      <top/>
      <bottom style="thick">
        <color indexed="64"/>
      </bottom>
      <diagonal/>
    </border>
    <border>
      <left style="dotted">
        <color indexed="64"/>
      </left>
      <right style="thick">
        <color indexed="64"/>
      </right>
      <top/>
      <bottom style="thick">
        <color indexed="64"/>
      </bottom>
      <diagonal/>
    </border>
    <border>
      <left/>
      <right style="double">
        <color indexed="64"/>
      </right>
      <top/>
      <bottom style="thin">
        <color indexed="64"/>
      </bottom>
      <diagonal/>
    </border>
    <border>
      <left/>
      <right style="double">
        <color indexed="64"/>
      </right>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style="thin">
        <color indexed="64"/>
      </top>
      <bottom style="hair">
        <color indexed="64"/>
      </bottom>
      <diagonal/>
    </border>
    <border>
      <left style="hair">
        <color indexed="64"/>
      </left>
      <right style="double">
        <color indexed="64"/>
      </right>
      <top/>
      <bottom style="thin">
        <color indexed="64"/>
      </bottom>
      <diagonal/>
    </border>
    <border>
      <left/>
      <right style="double">
        <color indexed="64"/>
      </right>
      <top style="thin">
        <color indexed="64"/>
      </top>
      <bottom/>
      <diagonal/>
    </border>
    <border>
      <left/>
      <right style="double">
        <color indexed="64"/>
      </right>
      <top style="hair">
        <color indexed="64"/>
      </top>
      <bottom/>
      <diagonal/>
    </border>
    <border>
      <left/>
      <right style="double">
        <color indexed="64"/>
      </right>
      <top/>
      <bottom/>
      <diagonal/>
    </border>
    <border>
      <left style="double">
        <color indexed="64"/>
      </left>
      <right/>
      <top style="thin">
        <color indexed="64"/>
      </top>
      <bottom/>
      <diagonal/>
    </border>
    <border>
      <left style="double">
        <color indexed="64"/>
      </left>
      <right style="hair">
        <color indexed="64"/>
      </right>
      <top style="hair">
        <color indexed="64"/>
      </top>
      <bottom/>
      <diagonal/>
    </border>
    <border>
      <left style="double">
        <color indexed="64"/>
      </left>
      <right style="hair">
        <color indexed="64"/>
      </right>
      <top/>
      <bottom style="thin">
        <color indexed="64"/>
      </bottom>
      <diagonal/>
    </border>
    <border>
      <left style="double">
        <color indexed="64"/>
      </left>
      <right/>
      <top/>
      <bottom style="thin">
        <color indexed="64"/>
      </bottom>
      <diagonal/>
    </border>
    <border>
      <left style="medium">
        <color indexed="64"/>
      </left>
      <right/>
      <top style="double">
        <color indexed="64"/>
      </top>
      <bottom style="hair">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hair">
        <color indexed="64"/>
      </left>
      <right style="double">
        <color indexed="64"/>
      </right>
      <top/>
      <bottom style="hair">
        <color indexed="64"/>
      </bottom>
      <diagonal/>
    </border>
    <border>
      <left style="double">
        <color indexed="64"/>
      </left>
      <right/>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double">
        <color indexed="64"/>
      </right>
      <top style="hair">
        <color indexed="64"/>
      </top>
      <bottom style="double">
        <color indexed="64"/>
      </bottom>
      <diagonal/>
    </border>
    <border>
      <left/>
      <right style="double">
        <color indexed="64"/>
      </right>
      <top style="hair">
        <color indexed="64"/>
      </top>
      <bottom style="thin">
        <color indexed="64"/>
      </bottom>
      <diagonal/>
    </border>
    <border>
      <left style="double">
        <color indexed="64"/>
      </left>
      <right style="hair">
        <color indexed="64"/>
      </right>
      <top style="thin">
        <color indexed="64"/>
      </top>
      <bottom/>
      <diagonal/>
    </border>
    <border>
      <left style="double">
        <color indexed="64"/>
      </left>
      <right style="hair">
        <color indexed="64"/>
      </right>
      <top/>
      <bottom/>
      <diagonal/>
    </border>
    <border>
      <left style="double">
        <color indexed="64"/>
      </left>
      <right style="hair">
        <color indexed="64"/>
      </right>
      <top/>
      <bottom style="hair">
        <color indexed="64"/>
      </bottom>
      <diagonal/>
    </border>
    <border>
      <left/>
      <right style="double">
        <color indexed="64"/>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bottom/>
      <diagonal/>
    </border>
    <border>
      <left style="medium">
        <color indexed="64"/>
      </left>
      <right style="hair">
        <color indexed="64"/>
      </right>
      <top style="thin">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double">
        <color indexed="64"/>
      </right>
      <top style="hair">
        <color indexed="64"/>
      </top>
      <bottom style="thin">
        <color indexed="64"/>
      </bottom>
      <diagonal/>
    </border>
    <border>
      <left style="double">
        <color indexed="64"/>
      </left>
      <right/>
      <top style="thin">
        <color indexed="64"/>
      </top>
      <bottom style="hair">
        <color indexed="64"/>
      </bottom>
      <diagonal/>
    </border>
    <border>
      <left style="double">
        <color indexed="64"/>
      </left>
      <right/>
      <top style="hair">
        <color indexed="64"/>
      </top>
      <bottom style="thin">
        <color indexed="64"/>
      </bottom>
      <diagonal/>
    </border>
    <border>
      <left/>
      <right style="thin">
        <color indexed="64"/>
      </right>
      <top style="thin">
        <color indexed="64"/>
      </top>
      <bottom style="medium">
        <color indexed="64"/>
      </bottom>
      <diagonal/>
    </border>
    <border>
      <left/>
      <right style="hair">
        <color indexed="64"/>
      </right>
      <top style="double">
        <color indexed="64"/>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bottom style="hair">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right style="double">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0" fontId="7" fillId="0" borderId="0" applyNumberFormat="0" applyFill="0" applyBorder="0" applyAlignment="0" applyProtection="0">
      <alignment vertical="top"/>
      <protection locked="0"/>
    </xf>
    <xf numFmtId="0" fontId="1" fillId="0" borderId="0"/>
    <xf numFmtId="0" fontId="1" fillId="0" borderId="0"/>
  </cellStyleXfs>
  <cellXfs count="2841">
    <xf numFmtId="0" fontId="0" fillId="0" borderId="0" xfId="0"/>
    <xf numFmtId="0" fontId="5" fillId="0" borderId="0" xfId="0" applyFont="1" applyFill="1" applyAlignment="1" applyProtection="1">
      <alignment vertical="center"/>
      <protection hidden="1"/>
    </xf>
    <xf numFmtId="0" fontId="3" fillId="0" borderId="0" xfId="0" applyFont="1" applyFill="1" applyBorder="1" applyAlignment="1" applyProtection="1">
      <alignment vertical="center"/>
      <protection hidden="1"/>
    </xf>
    <xf numFmtId="0" fontId="54" fillId="0" borderId="0" xfId="0" applyFont="1" applyFill="1" applyAlignment="1" applyProtection="1">
      <alignment horizontal="left" vertical="center"/>
      <protection hidden="1"/>
    </xf>
    <xf numFmtId="0" fontId="3" fillId="0" borderId="0" xfId="0" applyFont="1" applyFill="1" applyBorder="1" applyAlignment="1" applyProtection="1">
      <alignment horizontal="center"/>
      <protection hidden="1"/>
    </xf>
    <xf numFmtId="0" fontId="63" fillId="0" borderId="0" xfId="0" applyFont="1" applyFill="1" applyBorder="1" applyAlignment="1" applyProtection="1">
      <alignment horizontal="right" vertical="center"/>
      <protection hidden="1"/>
    </xf>
    <xf numFmtId="0" fontId="3" fillId="0" borderId="0" xfId="0" applyFont="1" applyFill="1" applyBorder="1" applyProtection="1">
      <protection hidden="1"/>
    </xf>
    <xf numFmtId="0" fontId="2" fillId="0" borderId="0" xfId="0" applyFont="1" applyFill="1" applyBorder="1" applyAlignment="1" applyProtection="1">
      <alignment horizontal="center" vertical="center"/>
      <protection hidden="1"/>
    </xf>
    <xf numFmtId="0" fontId="2" fillId="0" borderId="0" xfId="0" applyFont="1" applyFill="1" applyBorder="1" applyAlignment="1" applyProtection="1">
      <alignment horizontal="center" vertical="center" wrapText="1"/>
      <protection hidden="1"/>
    </xf>
    <xf numFmtId="0" fontId="0" fillId="0" borderId="0" xfId="0" applyFill="1" applyAlignment="1" applyProtection="1">
      <alignment vertical="center"/>
      <protection hidden="1"/>
    </xf>
    <xf numFmtId="0" fontId="0" fillId="0" borderId="0" xfId="0" applyFill="1" applyBorder="1" applyAlignment="1" applyProtection="1">
      <alignment vertical="center"/>
      <protection hidden="1"/>
    </xf>
    <xf numFmtId="0" fontId="58" fillId="0" borderId="0" xfId="0" applyFont="1" applyFill="1" applyBorder="1" applyAlignment="1" applyProtection="1">
      <alignment vertical="center"/>
      <protection hidden="1"/>
    </xf>
    <xf numFmtId="0" fontId="10" fillId="0" borderId="0" xfId="0" applyFont="1" applyFill="1" applyBorder="1" applyAlignment="1" applyProtection="1">
      <alignment horizontal="left" vertical="center"/>
      <protection hidden="1"/>
    </xf>
    <xf numFmtId="0" fontId="10" fillId="0" borderId="0" xfId="0" applyFont="1" applyFill="1" applyBorder="1" applyAlignment="1" applyProtection="1">
      <alignment horizontal="center" vertical="center"/>
      <protection hidden="1"/>
    </xf>
    <xf numFmtId="0" fontId="79" fillId="0" borderId="0" xfId="0" applyNumberFormat="1" applyFont="1" applyFill="1" applyBorder="1" applyAlignment="1" applyProtection="1">
      <alignment horizontal="center" vertical="center"/>
      <protection hidden="1"/>
    </xf>
    <xf numFmtId="0" fontId="45" fillId="0" borderId="0" xfId="0" applyFont="1" applyAlignment="1" applyProtection="1">
      <alignment vertical="center"/>
      <protection hidden="1"/>
    </xf>
    <xf numFmtId="0" fontId="0" fillId="0" borderId="0" xfId="0" applyAlignment="1" applyProtection="1">
      <alignment vertical="center"/>
      <protection hidden="1"/>
    </xf>
    <xf numFmtId="0" fontId="0" fillId="0" borderId="0" xfId="0" applyBorder="1" applyAlignment="1" applyProtection="1">
      <alignment vertical="center"/>
      <protection hidden="1"/>
    </xf>
    <xf numFmtId="0" fontId="0" fillId="0" borderId="64" xfId="0" applyBorder="1" applyAlignment="1" applyProtection="1">
      <alignment horizontal="center" vertical="center"/>
      <protection hidden="1"/>
    </xf>
    <xf numFmtId="0" fontId="0" fillId="0" borderId="64" xfId="0" applyBorder="1" applyAlignment="1" applyProtection="1">
      <alignment vertical="center"/>
      <protection hidden="1"/>
    </xf>
    <xf numFmtId="0" fontId="2" fillId="0" borderId="64" xfId="0" applyFont="1" applyFill="1" applyBorder="1" applyAlignment="1" applyProtection="1">
      <alignment horizontal="center" vertical="center" wrapText="1"/>
      <protection hidden="1"/>
    </xf>
    <xf numFmtId="0" fontId="12" fillId="3" borderId="71" xfId="0" applyFont="1" applyFill="1" applyBorder="1" applyAlignment="1" applyProtection="1">
      <alignment horizontal="center" vertical="center"/>
      <protection hidden="1"/>
    </xf>
    <xf numFmtId="0" fontId="10" fillId="0" borderId="21" xfId="0" applyFont="1" applyFill="1" applyBorder="1" applyAlignment="1" applyProtection="1">
      <alignment horizontal="right" vertical="top" wrapText="1"/>
      <protection hidden="1"/>
    </xf>
    <xf numFmtId="0" fontId="17" fillId="0" borderId="10" xfId="0" applyFont="1" applyFill="1" applyBorder="1" applyAlignment="1" applyProtection="1">
      <alignment horizontal="right" vertical="center" wrapText="1"/>
      <protection hidden="1"/>
    </xf>
    <xf numFmtId="0" fontId="17" fillId="0" borderId="5" xfId="0" applyFont="1" applyFill="1" applyBorder="1" applyAlignment="1" applyProtection="1">
      <alignment horizontal="center" vertical="center" wrapText="1"/>
      <protection hidden="1"/>
    </xf>
    <xf numFmtId="0" fontId="0" fillId="0" borderId="73" xfId="0" applyBorder="1" applyAlignment="1" applyProtection="1">
      <alignment horizontal="center" vertical="center"/>
      <protection hidden="1"/>
    </xf>
    <xf numFmtId="0" fontId="17" fillId="0" borderId="59" xfId="0" applyFont="1" applyFill="1" applyBorder="1" applyAlignment="1" applyProtection="1">
      <alignment vertical="center" wrapText="1"/>
      <protection hidden="1"/>
    </xf>
    <xf numFmtId="0" fontId="17" fillId="0" borderId="41" xfId="0" applyFont="1" applyFill="1" applyBorder="1" applyAlignment="1" applyProtection="1">
      <alignment horizontal="right" vertical="center" wrapText="1"/>
      <protection hidden="1"/>
    </xf>
    <xf numFmtId="0" fontId="17" fillId="0" borderId="74" xfId="0" applyFont="1" applyFill="1" applyBorder="1" applyAlignment="1" applyProtection="1">
      <alignment horizontal="center" vertical="center" wrapText="1"/>
      <protection hidden="1"/>
    </xf>
    <xf numFmtId="0" fontId="17" fillId="0" borderId="75" xfId="0" applyFont="1" applyFill="1" applyBorder="1" applyAlignment="1" applyProtection="1">
      <alignment horizontal="left" vertical="center" wrapText="1"/>
      <protection hidden="1"/>
    </xf>
    <xf numFmtId="0" fontId="0" fillId="0" borderId="0" xfId="0" applyAlignment="1" applyProtection="1">
      <alignment vertical="center" wrapText="1"/>
      <protection hidden="1"/>
    </xf>
    <xf numFmtId="0" fontId="17" fillId="0" borderId="21" xfId="0" applyFont="1" applyFill="1" applyBorder="1" applyAlignment="1" applyProtection="1">
      <alignment horizontal="right" vertical="center" wrapText="1"/>
      <protection hidden="1"/>
    </xf>
    <xf numFmtId="0" fontId="17" fillId="0" borderId="3" xfId="0" applyFont="1" applyFill="1" applyBorder="1" applyAlignment="1" applyProtection="1">
      <alignment horizontal="center" vertical="center" wrapText="1"/>
      <protection hidden="1"/>
    </xf>
    <xf numFmtId="0" fontId="17" fillId="0" borderId="4" xfId="0" applyFont="1" applyFill="1" applyBorder="1" applyAlignment="1" applyProtection="1">
      <alignment horizontal="left" vertical="center" wrapText="1"/>
      <protection hidden="1"/>
    </xf>
    <xf numFmtId="0" fontId="17" fillId="0" borderId="9" xfId="0" applyFont="1" applyFill="1" applyBorder="1" applyAlignment="1" applyProtection="1">
      <alignment horizontal="right" vertical="center" wrapText="1"/>
      <protection hidden="1"/>
    </xf>
    <xf numFmtId="0" fontId="0" fillId="0" borderId="65" xfId="0" applyBorder="1" applyAlignment="1" applyProtection="1">
      <alignment horizontal="center" vertical="center"/>
      <protection hidden="1"/>
    </xf>
    <xf numFmtId="0" fontId="3" fillId="0" borderId="0" xfId="0" applyFont="1" applyFill="1" applyBorder="1" applyAlignment="1" applyProtection="1">
      <alignment vertical="center" wrapText="1"/>
      <protection hidden="1"/>
    </xf>
    <xf numFmtId="0" fontId="55" fillId="0" borderId="79" xfId="1" applyFont="1" applyBorder="1" applyAlignment="1" applyProtection="1">
      <alignment horizontal="center" vertical="center"/>
      <protection hidden="1"/>
    </xf>
    <xf numFmtId="0" fontId="70" fillId="0" borderId="0" xfId="0" applyFont="1" applyFill="1" applyBorder="1" applyAlignment="1" applyProtection="1">
      <alignment vertical="center"/>
      <protection hidden="1"/>
    </xf>
    <xf numFmtId="0" fontId="70" fillId="0" borderId="0" xfId="0" applyFont="1" applyFill="1" applyBorder="1" applyAlignment="1" applyProtection="1">
      <alignment vertical="center" wrapText="1"/>
      <protection hidden="1"/>
    </xf>
    <xf numFmtId="0" fontId="0" fillId="0" borderId="65" xfId="0" applyBorder="1" applyAlignment="1" applyProtection="1">
      <alignment vertical="center"/>
      <protection hidden="1"/>
    </xf>
    <xf numFmtId="49" fontId="17" fillId="0" borderId="3" xfId="0" applyNumberFormat="1" applyFont="1" applyFill="1" applyBorder="1" applyAlignment="1" applyProtection="1">
      <alignment horizontal="center" vertical="center" wrapText="1"/>
      <protection hidden="1"/>
    </xf>
    <xf numFmtId="0" fontId="17" fillId="0" borderId="6" xfId="0" applyFont="1" applyFill="1" applyBorder="1" applyAlignment="1" applyProtection="1">
      <alignment horizontal="center" vertical="center" wrapText="1"/>
      <protection hidden="1"/>
    </xf>
    <xf numFmtId="49" fontId="17" fillId="0" borderId="5" xfId="0" applyNumberFormat="1" applyFont="1" applyFill="1" applyBorder="1" applyAlignment="1" applyProtection="1">
      <alignment horizontal="center" vertical="center" wrapText="1"/>
      <protection hidden="1"/>
    </xf>
    <xf numFmtId="0" fontId="17" fillId="0" borderId="12" xfId="0" applyFont="1" applyFill="1" applyBorder="1" applyAlignment="1" applyProtection="1">
      <alignment horizontal="center" vertical="center" wrapText="1"/>
      <protection hidden="1"/>
    </xf>
    <xf numFmtId="49" fontId="17" fillId="0" borderId="8" xfId="0" applyNumberFormat="1" applyFont="1" applyFill="1" applyBorder="1" applyAlignment="1" applyProtection="1">
      <alignment horizontal="center" vertical="center" wrapText="1"/>
      <protection hidden="1"/>
    </xf>
    <xf numFmtId="0" fontId="17" fillId="0" borderId="11" xfId="0" applyFont="1" applyFill="1" applyBorder="1" applyAlignment="1" applyProtection="1">
      <alignment horizontal="center" vertical="center" wrapText="1"/>
      <protection hidden="1"/>
    </xf>
    <xf numFmtId="0" fontId="0" fillId="0" borderId="83" xfId="0" applyBorder="1" applyAlignment="1" applyProtection="1">
      <alignment horizontal="center" vertical="center"/>
      <protection hidden="1"/>
    </xf>
    <xf numFmtId="49" fontId="3" fillId="0" borderId="0" xfId="0" applyNumberFormat="1" applyFont="1" applyFill="1" applyBorder="1" applyAlignment="1" applyProtection="1">
      <alignment vertical="center"/>
      <protection hidden="1"/>
    </xf>
    <xf numFmtId="0" fontId="66" fillId="0" borderId="0" xfId="0" applyFont="1" applyBorder="1" applyAlignment="1" applyProtection="1">
      <alignment vertical="center" wrapText="1"/>
      <protection hidden="1"/>
    </xf>
    <xf numFmtId="0" fontId="5" fillId="0" borderId="77" xfId="0" applyFont="1" applyBorder="1" applyAlignment="1" applyProtection="1">
      <alignment horizontal="center" vertical="center"/>
      <protection hidden="1"/>
    </xf>
    <xf numFmtId="0" fontId="10" fillId="0" borderId="84" xfId="0" applyFont="1" applyBorder="1" applyAlignment="1" applyProtection="1">
      <alignment horizontal="center" vertical="center" wrapText="1"/>
      <protection hidden="1"/>
    </xf>
    <xf numFmtId="0" fontId="23" fillId="0" borderId="31" xfId="0" applyFont="1" applyBorder="1" applyAlignment="1" applyProtection="1">
      <alignment horizontal="center" vertical="center" wrapText="1"/>
      <protection hidden="1"/>
    </xf>
    <xf numFmtId="0" fontId="5" fillId="0" borderId="72" xfId="0" applyFont="1" applyBorder="1" applyAlignment="1" applyProtection="1">
      <alignment horizontal="center" vertical="center"/>
      <protection hidden="1"/>
    </xf>
    <xf numFmtId="0" fontId="13" fillId="0" borderId="85" xfId="0" applyFont="1" applyBorder="1" applyAlignment="1" applyProtection="1">
      <alignment horizontal="center" vertical="center" wrapText="1"/>
      <protection hidden="1"/>
    </xf>
    <xf numFmtId="0" fontId="23" fillId="0" borderId="1" xfId="0" applyFont="1" applyBorder="1" applyAlignment="1" applyProtection="1">
      <alignment horizontal="center" vertical="center" wrapText="1"/>
      <protection hidden="1"/>
    </xf>
    <xf numFmtId="0" fontId="10" fillId="0" borderId="85" xfId="0" applyFont="1" applyBorder="1" applyAlignment="1" applyProtection="1">
      <alignment horizontal="center" vertical="center" wrapText="1"/>
      <protection hidden="1"/>
    </xf>
    <xf numFmtId="0" fontId="5" fillId="0" borderId="73" xfId="0" applyFont="1" applyBorder="1" applyAlignment="1" applyProtection="1">
      <alignment horizontal="center" vertical="center"/>
      <protection hidden="1"/>
    </xf>
    <xf numFmtId="0" fontId="10" fillId="0" borderId="86" xfId="0" applyFont="1" applyBorder="1" applyAlignment="1" applyProtection="1">
      <alignment horizontal="center" vertical="center" wrapText="1"/>
      <protection hidden="1"/>
    </xf>
    <xf numFmtId="0" fontId="23" fillId="0" borderId="59" xfId="0" applyFont="1" applyBorder="1" applyAlignment="1" applyProtection="1">
      <alignment horizontal="center" vertical="center" wrapText="1"/>
      <protection hidden="1"/>
    </xf>
    <xf numFmtId="0" fontId="0" fillId="0" borderId="87" xfId="0" applyBorder="1" applyAlignment="1" applyProtection="1">
      <alignment vertical="center"/>
      <protection hidden="1"/>
    </xf>
    <xf numFmtId="49" fontId="3" fillId="0" borderId="4" xfId="0" applyNumberFormat="1" applyFont="1" applyBorder="1" applyAlignment="1" applyProtection="1">
      <alignment horizontal="center" vertical="center"/>
      <protection hidden="1"/>
    </xf>
    <xf numFmtId="0" fontId="17" fillId="0" borderId="19" xfId="0" applyFont="1" applyFill="1" applyBorder="1" applyAlignment="1" applyProtection="1">
      <alignment horizontal="center" vertical="center" wrapText="1"/>
      <protection hidden="1"/>
    </xf>
    <xf numFmtId="0" fontId="3" fillId="0" borderId="0" xfId="0" applyFont="1" applyAlignment="1" applyProtection="1">
      <alignment horizontal="right" vertical="center"/>
      <protection hidden="1"/>
    </xf>
    <xf numFmtId="0" fontId="0" fillId="0" borderId="18" xfId="0" applyBorder="1" applyAlignment="1" applyProtection="1">
      <alignment vertical="center"/>
      <protection hidden="1"/>
    </xf>
    <xf numFmtId="0" fontId="3" fillId="0" borderId="0" xfId="0" applyFont="1" applyAlignment="1" applyProtection="1">
      <alignment vertical="center"/>
      <protection hidden="1"/>
    </xf>
    <xf numFmtId="49" fontId="3" fillId="0" borderId="13" xfId="0" applyNumberFormat="1" applyFont="1" applyBorder="1" applyAlignment="1" applyProtection="1">
      <alignment horizontal="center" vertical="center"/>
      <protection hidden="1"/>
    </xf>
    <xf numFmtId="0" fontId="3" fillId="0" borderId="13" xfId="0" applyFont="1" applyFill="1" applyBorder="1" applyAlignment="1" applyProtection="1">
      <alignment horizontal="center" vertical="center" wrapText="1"/>
      <protection hidden="1"/>
    </xf>
    <xf numFmtId="0" fontId="0" fillId="0" borderId="88" xfId="0" applyBorder="1" applyAlignment="1" applyProtection="1">
      <alignment horizontal="center" vertical="center"/>
      <protection hidden="1"/>
    </xf>
    <xf numFmtId="0" fontId="17" fillId="0" borderId="90" xfId="0" applyFont="1" applyFill="1" applyBorder="1" applyAlignment="1" applyProtection="1">
      <alignment vertical="center" wrapText="1"/>
      <protection hidden="1"/>
    </xf>
    <xf numFmtId="0" fontId="17" fillId="0" borderId="91" xfId="0" applyFont="1" applyFill="1" applyBorder="1" applyAlignment="1" applyProtection="1">
      <alignment horizontal="center" vertical="center" wrapText="1"/>
      <protection hidden="1"/>
    </xf>
    <xf numFmtId="0" fontId="10" fillId="0" borderId="6" xfId="0" applyFont="1" applyFill="1" applyBorder="1" applyAlignment="1" applyProtection="1">
      <alignment horizontal="center" vertical="center" wrapText="1"/>
      <protection hidden="1"/>
    </xf>
    <xf numFmtId="0" fontId="0" fillId="0" borderId="72" xfId="0" applyBorder="1" applyAlignment="1" applyProtection="1">
      <alignment vertical="center"/>
      <protection hidden="1"/>
    </xf>
    <xf numFmtId="0" fontId="10" fillId="0" borderId="75" xfId="0" applyFont="1" applyFill="1" applyBorder="1" applyAlignment="1" applyProtection="1">
      <alignment vertical="center" wrapText="1"/>
      <protection hidden="1"/>
    </xf>
    <xf numFmtId="0" fontId="10" fillId="0" borderId="75" xfId="0" applyFont="1" applyFill="1" applyBorder="1" applyAlignment="1" applyProtection="1">
      <alignment horizontal="center" vertical="center" wrapText="1"/>
      <protection hidden="1"/>
    </xf>
    <xf numFmtId="0" fontId="17" fillId="0" borderId="0" xfId="0" applyFont="1" applyFill="1" applyBorder="1" applyAlignment="1" applyProtection="1">
      <alignment vertical="center" wrapText="1"/>
      <protection hidden="1"/>
    </xf>
    <xf numFmtId="0" fontId="10" fillId="0" borderId="0" xfId="0" applyNumberFormat="1" applyFont="1" applyBorder="1" applyAlignment="1" applyProtection="1">
      <alignment horizontal="center" vertical="center" wrapText="1"/>
      <protection hidden="1"/>
    </xf>
    <xf numFmtId="0" fontId="0" fillId="0" borderId="0" xfId="0" applyNumberFormat="1" applyAlignment="1" applyProtection="1">
      <alignment vertical="center"/>
      <protection hidden="1"/>
    </xf>
    <xf numFmtId="0" fontId="17" fillId="0" borderId="81" xfId="0" applyFont="1" applyFill="1" applyBorder="1" applyAlignment="1" applyProtection="1">
      <alignment horizontal="center" vertical="center" wrapText="1"/>
      <protection hidden="1"/>
    </xf>
    <xf numFmtId="0" fontId="17" fillId="0" borderId="28" xfId="0" applyFont="1" applyFill="1" applyBorder="1" applyAlignment="1" applyProtection="1">
      <alignment vertical="center" wrapText="1"/>
      <protection hidden="1"/>
    </xf>
    <xf numFmtId="0" fontId="17" fillId="0" borderId="58" xfId="0" applyFont="1" applyFill="1" applyBorder="1" applyAlignment="1" applyProtection="1">
      <alignment horizontal="center" vertical="center" wrapText="1"/>
      <protection hidden="1"/>
    </xf>
    <xf numFmtId="0" fontId="17" fillId="0" borderId="92" xfId="0" applyFont="1" applyFill="1" applyBorder="1" applyAlignment="1" applyProtection="1">
      <alignment horizontal="center" vertical="center" wrapText="1"/>
      <protection hidden="1"/>
    </xf>
    <xf numFmtId="0" fontId="17" fillId="0" borderId="85" xfId="0" applyFont="1" applyFill="1" applyBorder="1" applyAlignment="1" applyProtection="1">
      <alignment horizontal="center" vertical="center" wrapText="1"/>
      <protection hidden="1"/>
    </xf>
    <xf numFmtId="0" fontId="17" fillId="0" borderId="23" xfId="0" applyFont="1" applyFill="1" applyBorder="1" applyAlignment="1" applyProtection="1">
      <alignment vertical="center" wrapText="1"/>
      <protection hidden="1"/>
    </xf>
    <xf numFmtId="0" fontId="17" fillId="0" borderId="93" xfId="0" applyFont="1" applyFill="1" applyBorder="1" applyAlignment="1" applyProtection="1">
      <alignment horizontal="center" vertical="center" wrapText="1"/>
      <protection hidden="1"/>
    </xf>
    <xf numFmtId="0" fontId="0" fillId="0" borderId="79" xfId="0" applyBorder="1" applyAlignment="1" applyProtection="1">
      <alignment vertical="center"/>
      <protection hidden="1"/>
    </xf>
    <xf numFmtId="0" fontId="13" fillId="0" borderId="0"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49" fontId="10" fillId="0" borderId="0" xfId="0" applyNumberFormat="1"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41" fillId="0" borderId="78" xfId="0" applyFont="1" applyBorder="1" applyAlignment="1" applyProtection="1">
      <alignment horizontal="right" vertical="center" textRotation="90"/>
      <protection hidden="1"/>
    </xf>
    <xf numFmtId="0" fontId="10" fillId="0" borderId="11" xfId="0" applyFont="1" applyBorder="1" applyAlignment="1" applyProtection="1">
      <alignment horizontal="center" vertical="center" wrapText="1"/>
      <protection hidden="1"/>
    </xf>
    <xf numFmtId="0" fontId="21" fillId="0" borderId="0" xfId="0" applyFont="1" applyBorder="1" applyAlignment="1" applyProtection="1">
      <alignment vertical="center" wrapText="1"/>
      <protection hidden="1"/>
    </xf>
    <xf numFmtId="0" fontId="23" fillId="0" borderId="94" xfId="0" applyFont="1" applyFill="1" applyBorder="1" applyAlignment="1" applyProtection="1">
      <alignment vertical="center" wrapText="1"/>
      <protection hidden="1"/>
    </xf>
    <xf numFmtId="0" fontId="10" fillId="0" borderId="0" xfId="0" applyFont="1" applyBorder="1" applyAlignment="1" applyProtection="1">
      <alignment vertical="center" wrapText="1"/>
      <protection hidden="1"/>
    </xf>
    <xf numFmtId="0" fontId="10" fillId="0" borderId="19" xfId="0" applyFont="1" applyBorder="1" applyAlignment="1" applyProtection="1">
      <alignment horizontal="center" vertical="center" wrapText="1"/>
      <protection hidden="1"/>
    </xf>
    <xf numFmtId="0" fontId="13" fillId="0" borderId="12" xfId="0" applyFont="1" applyBorder="1" applyAlignment="1" applyProtection="1">
      <alignment horizontal="center" vertical="center" wrapText="1"/>
      <protection hidden="1"/>
    </xf>
    <xf numFmtId="0" fontId="10" fillId="0" borderId="11" xfId="0" applyFont="1" applyFill="1" applyBorder="1" applyAlignment="1" applyProtection="1">
      <alignment horizontal="center" vertical="center" wrapText="1"/>
      <protection hidden="1"/>
    </xf>
    <xf numFmtId="0" fontId="17" fillId="0" borderId="0" xfId="0" applyNumberFormat="1" applyFont="1" applyBorder="1" applyAlignment="1" applyProtection="1">
      <alignment horizontal="center" vertical="center"/>
      <protection hidden="1"/>
    </xf>
    <xf numFmtId="0" fontId="17" fillId="0" borderId="95" xfId="0" applyFont="1" applyFill="1" applyBorder="1" applyAlignment="1" applyProtection="1">
      <alignment vertical="center" wrapText="1"/>
      <protection hidden="1"/>
    </xf>
    <xf numFmtId="0" fontId="17" fillId="0" borderId="21" xfId="0" applyFont="1" applyFill="1" applyBorder="1" applyAlignment="1" applyProtection="1">
      <alignment horizontal="left" vertical="center" wrapText="1"/>
      <protection hidden="1"/>
    </xf>
    <xf numFmtId="0" fontId="17" fillId="0" borderId="3" xfId="0" applyFont="1" applyFill="1" applyBorder="1" applyAlignment="1" applyProtection="1">
      <alignment horizontal="left" vertical="center" wrapText="1"/>
      <protection hidden="1"/>
    </xf>
    <xf numFmtId="0" fontId="3" fillId="0" borderId="4" xfId="0" applyFont="1" applyBorder="1" applyAlignment="1" applyProtection="1">
      <alignment vertical="center"/>
      <protection hidden="1"/>
    </xf>
    <xf numFmtId="0" fontId="17" fillId="0" borderId="10" xfId="0" applyFont="1" applyFill="1" applyBorder="1" applyAlignment="1" applyProtection="1">
      <alignment horizontal="left" vertical="center" wrapText="1"/>
      <protection hidden="1"/>
    </xf>
    <xf numFmtId="0" fontId="17" fillId="0" borderId="5" xfId="0" applyFont="1" applyFill="1" applyBorder="1" applyAlignment="1" applyProtection="1">
      <alignment horizontal="left" vertical="center" wrapText="1"/>
      <protection hidden="1"/>
    </xf>
    <xf numFmtId="0" fontId="3" fillId="0" borderId="13" xfId="0" applyFont="1" applyBorder="1" applyAlignment="1" applyProtection="1">
      <alignment vertical="center"/>
      <protection hidden="1"/>
    </xf>
    <xf numFmtId="0" fontId="10" fillId="0" borderId="85" xfId="0" applyFont="1" applyFill="1" applyBorder="1" applyAlignment="1" applyProtection="1">
      <alignment horizontal="center" vertical="center" wrapText="1"/>
      <protection hidden="1"/>
    </xf>
    <xf numFmtId="0" fontId="0" fillId="0" borderId="96" xfId="0"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7" fillId="0" borderId="0" xfId="0" applyFont="1" applyFill="1" applyBorder="1" applyAlignment="1" applyProtection="1">
      <alignment horizontal="center" vertical="center" wrapText="1"/>
      <protection hidden="1"/>
    </xf>
    <xf numFmtId="0" fontId="10" fillId="0" borderId="0" xfId="0" applyFont="1" applyFill="1" applyBorder="1" applyAlignment="1" applyProtection="1">
      <alignment horizontal="center" vertical="center" wrapText="1"/>
      <protection hidden="1"/>
    </xf>
    <xf numFmtId="0" fontId="6" fillId="0" borderId="0" xfId="0" applyNumberFormat="1" applyFont="1" applyBorder="1" applyAlignment="1" applyProtection="1">
      <alignment horizontal="center" vertical="center" wrapText="1"/>
      <protection hidden="1"/>
    </xf>
    <xf numFmtId="0" fontId="17" fillId="0" borderId="0" xfId="0" applyNumberFormat="1" applyFont="1" applyBorder="1" applyAlignment="1" applyProtection="1">
      <alignment horizontal="center" vertical="center" wrapText="1"/>
      <protection hidden="1"/>
    </xf>
    <xf numFmtId="0" fontId="80" fillId="0" borderId="0" xfId="0" applyFont="1" applyBorder="1" applyAlignment="1" applyProtection="1">
      <alignment vertical="center" wrapText="1"/>
      <protection hidden="1"/>
    </xf>
    <xf numFmtId="0" fontId="81" fillId="0" borderId="0" xfId="0" applyFont="1" applyBorder="1" applyAlignment="1" applyProtection="1">
      <alignment vertical="center" wrapText="1"/>
      <protection hidden="1"/>
    </xf>
    <xf numFmtId="0" fontId="17" fillId="0" borderId="3" xfId="0" applyFont="1" applyFill="1" applyBorder="1" applyAlignment="1" applyProtection="1">
      <alignment vertical="center"/>
      <protection hidden="1"/>
    </xf>
    <xf numFmtId="0" fontId="17" fillId="0" borderId="0" xfId="0" applyFont="1" applyFill="1" applyBorder="1" applyAlignment="1" applyProtection="1">
      <alignment vertical="center"/>
      <protection hidden="1"/>
    </xf>
    <xf numFmtId="0" fontId="10" fillId="0" borderId="84" xfId="0" applyFont="1" applyFill="1" applyBorder="1" applyAlignment="1" applyProtection="1">
      <alignment horizontal="center" vertical="center" wrapText="1"/>
      <protection hidden="1"/>
    </xf>
    <xf numFmtId="0" fontId="17" fillId="0" borderId="13" xfId="0" applyFont="1" applyFill="1" applyBorder="1" applyAlignment="1" applyProtection="1">
      <alignment horizontal="center" vertical="center" wrapText="1"/>
      <protection hidden="1"/>
    </xf>
    <xf numFmtId="0" fontId="82" fillId="0" borderId="0" xfId="0" applyFont="1" applyFill="1" applyBorder="1" applyAlignment="1" applyProtection="1">
      <alignment vertical="center" wrapText="1"/>
      <protection hidden="1"/>
    </xf>
    <xf numFmtId="0" fontId="17" fillId="0" borderId="5" xfId="0" applyFont="1" applyFill="1" applyBorder="1" applyAlignment="1" applyProtection="1">
      <alignment vertical="center"/>
      <protection hidden="1"/>
    </xf>
    <xf numFmtId="0" fontId="17" fillId="0" borderId="8" xfId="0" applyFont="1" applyFill="1" applyBorder="1" applyAlignment="1" applyProtection="1">
      <alignment horizontal="left" vertical="center"/>
      <protection hidden="1"/>
    </xf>
    <xf numFmtId="0" fontId="10" fillId="0" borderId="97" xfId="0" applyFont="1" applyFill="1" applyBorder="1" applyAlignment="1" applyProtection="1">
      <alignment horizontal="center" vertical="center" wrapText="1"/>
      <protection hidden="1"/>
    </xf>
    <xf numFmtId="0" fontId="0" fillId="0" borderId="67" xfId="0" applyBorder="1" applyAlignment="1" applyProtection="1">
      <alignment vertical="center"/>
      <protection hidden="1"/>
    </xf>
    <xf numFmtId="0" fontId="3" fillId="0" borderId="87" xfId="0" applyFont="1" applyBorder="1" applyAlignment="1" applyProtection="1">
      <alignment horizontal="center" vertical="center"/>
      <protection hidden="1"/>
    </xf>
    <xf numFmtId="0" fontId="23" fillId="0" borderId="83" xfId="0" applyFont="1" applyFill="1" applyBorder="1" applyAlignment="1" applyProtection="1">
      <alignment vertical="center" wrapText="1"/>
      <protection hidden="1"/>
    </xf>
    <xf numFmtId="0" fontId="0" fillId="0" borderId="98" xfId="0" applyFill="1" applyBorder="1" applyAlignment="1" applyProtection="1">
      <alignment horizontal="center" vertical="center"/>
      <protection hidden="1"/>
    </xf>
    <xf numFmtId="0" fontId="10" fillId="0" borderId="98" xfId="0" applyFont="1" applyFill="1" applyBorder="1" applyAlignment="1" applyProtection="1">
      <alignment vertical="center" wrapText="1"/>
      <protection hidden="1"/>
    </xf>
    <xf numFmtId="0" fontId="2" fillId="0" borderId="0" xfId="0" applyNumberFormat="1" applyFont="1" applyBorder="1" applyAlignment="1" applyProtection="1">
      <alignment horizontal="center" vertical="center" wrapText="1"/>
      <protection hidden="1"/>
    </xf>
    <xf numFmtId="0" fontId="0" fillId="0" borderId="92" xfId="0" applyBorder="1" applyAlignment="1" applyProtection="1">
      <alignment vertical="center"/>
      <protection hidden="1"/>
    </xf>
    <xf numFmtId="0" fontId="3" fillId="0" borderId="0" xfId="0" applyFont="1" applyBorder="1" applyProtection="1">
      <protection hidden="1"/>
    </xf>
    <xf numFmtId="0" fontId="10" fillId="0" borderId="13" xfId="0" applyFont="1" applyBorder="1" applyAlignment="1" applyProtection="1">
      <alignment horizontal="left" vertical="center"/>
      <protection hidden="1"/>
    </xf>
    <xf numFmtId="0" fontId="10" fillId="0" borderId="85" xfId="0" applyNumberFormat="1" applyFont="1" applyBorder="1" applyAlignment="1" applyProtection="1">
      <alignment horizontal="center" vertical="center" wrapText="1"/>
      <protection hidden="1"/>
    </xf>
    <xf numFmtId="0" fontId="10" fillId="0" borderId="93" xfId="0" applyNumberFormat="1" applyFont="1" applyBorder="1" applyAlignment="1" applyProtection="1">
      <alignment horizontal="center" vertical="center" wrapText="1"/>
      <protection hidden="1"/>
    </xf>
    <xf numFmtId="16" fontId="10" fillId="0" borderId="92" xfId="0" applyNumberFormat="1" applyFont="1" applyBorder="1" applyAlignment="1" applyProtection="1">
      <alignment horizontal="center" vertical="center" wrapText="1"/>
      <protection hidden="1"/>
    </xf>
    <xf numFmtId="0" fontId="0" fillId="0" borderId="66" xfId="0" applyBorder="1" applyAlignment="1" applyProtection="1">
      <alignment vertical="center"/>
      <protection hidden="1"/>
    </xf>
    <xf numFmtId="17" fontId="10" fillId="0" borderId="93" xfId="0" applyNumberFormat="1" applyFont="1" applyBorder="1" applyAlignment="1" applyProtection="1">
      <alignment horizontal="center" vertical="center" wrapText="1"/>
      <protection hidden="1"/>
    </xf>
    <xf numFmtId="0" fontId="0" fillId="0" borderId="96" xfId="0" applyBorder="1" applyAlignment="1" applyProtection="1">
      <alignment vertical="center"/>
      <protection hidden="1"/>
    </xf>
    <xf numFmtId="17" fontId="10" fillId="0" borderId="0" xfId="0" applyNumberFormat="1" applyFont="1" applyBorder="1" applyAlignment="1" applyProtection="1">
      <alignment horizontal="center" vertical="center" wrapText="1"/>
      <protection hidden="1"/>
    </xf>
    <xf numFmtId="0" fontId="10" fillId="0" borderId="64" xfId="0" applyFont="1" applyBorder="1" applyAlignment="1" applyProtection="1">
      <alignment vertical="center" wrapText="1"/>
      <protection hidden="1"/>
    </xf>
    <xf numFmtId="0" fontId="89" fillId="0" borderId="77" xfId="1" applyFont="1" applyBorder="1" applyAlignment="1" applyProtection="1">
      <alignment horizontal="center" vertical="center"/>
      <protection hidden="1"/>
    </xf>
    <xf numFmtId="0" fontId="0" fillId="0" borderId="0" xfId="0" applyBorder="1" applyProtection="1">
      <protection hidden="1"/>
    </xf>
    <xf numFmtId="0" fontId="1" fillId="0" borderId="0" xfId="0" applyFont="1" applyBorder="1" applyProtection="1">
      <protection hidden="1"/>
    </xf>
    <xf numFmtId="0" fontId="3" fillId="0" borderId="0" xfId="0" applyFont="1" applyBorder="1" applyAlignment="1" applyProtection="1">
      <alignment horizontal="center"/>
      <protection hidden="1"/>
    </xf>
    <xf numFmtId="49" fontId="3" fillId="0" borderId="0" xfId="0" applyNumberFormat="1" applyFont="1" applyFill="1" applyBorder="1" applyAlignment="1" applyProtection="1">
      <alignment horizontal="center"/>
      <protection hidden="1"/>
    </xf>
    <xf numFmtId="49" fontId="3" fillId="0" borderId="0" xfId="0" applyNumberFormat="1" applyFont="1" applyBorder="1" applyAlignment="1" applyProtection="1">
      <alignment horizontal="center"/>
      <protection hidden="1"/>
    </xf>
    <xf numFmtId="0" fontId="3" fillId="0" borderId="0" xfId="0" applyFont="1" applyFill="1" applyBorder="1" applyAlignment="1" applyProtection="1">
      <alignment horizontal="left"/>
      <protection hidden="1"/>
    </xf>
    <xf numFmtId="0" fontId="3" fillId="2" borderId="0" xfId="0" applyFont="1" applyFill="1" applyBorder="1" applyAlignment="1" applyProtection="1">
      <alignment horizontal="center"/>
      <protection hidden="1"/>
    </xf>
    <xf numFmtId="0" fontId="56" fillId="2" borderId="0" xfId="0" applyFont="1" applyFill="1" applyBorder="1" applyAlignment="1" applyProtection="1">
      <alignment horizontal="center"/>
      <protection hidden="1"/>
    </xf>
    <xf numFmtId="0" fontId="3" fillId="0" borderId="0" xfId="0" applyFont="1" applyBorder="1" applyAlignment="1" applyProtection="1">
      <alignment horizontal="left"/>
      <protection hidden="1"/>
    </xf>
    <xf numFmtId="0" fontId="1" fillId="0" borderId="0" xfId="0" applyFont="1" applyBorder="1" applyAlignment="1" applyProtection="1">
      <alignment horizontal="left"/>
      <protection hidden="1"/>
    </xf>
    <xf numFmtId="0" fontId="1" fillId="0" borderId="0" xfId="0" applyFont="1" applyBorder="1" applyAlignment="1" applyProtection="1">
      <alignment horizontal="center"/>
      <protection hidden="1"/>
    </xf>
    <xf numFmtId="0" fontId="57" fillId="0" borderId="0" xfId="0" applyFont="1" applyBorder="1" applyProtection="1">
      <protection hidden="1"/>
    </xf>
    <xf numFmtId="0" fontId="10" fillId="0" borderId="0" xfId="0" applyFont="1" applyBorder="1" applyAlignment="1" applyProtection="1">
      <alignment vertical="top"/>
      <protection hidden="1"/>
    </xf>
    <xf numFmtId="0" fontId="0" fillId="0" borderId="0" xfId="0"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0" fillId="0" borderId="10" xfId="0" applyBorder="1" applyAlignment="1" applyProtection="1">
      <alignment vertical="center"/>
      <protection hidden="1"/>
    </xf>
    <xf numFmtId="0" fontId="83" fillId="0" borderId="13" xfId="0" applyFont="1" applyFill="1" applyBorder="1" applyAlignment="1" applyProtection="1">
      <alignment horizontal="left" vertical="center" wrapText="1"/>
      <protection locked="0"/>
    </xf>
    <xf numFmtId="0" fontId="83" fillId="0" borderId="23" xfId="0" applyFont="1" applyFill="1" applyBorder="1" applyAlignment="1" applyProtection="1">
      <alignment horizontal="left" vertical="center" wrapText="1"/>
      <protection locked="0"/>
    </xf>
    <xf numFmtId="0" fontId="2" fillId="5" borderId="69" xfId="0" applyFont="1" applyFill="1" applyBorder="1" applyAlignment="1" applyProtection="1">
      <alignment horizontal="center" vertical="center"/>
      <protection hidden="1"/>
    </xf>
    <xf numFmtId="0" fontId="13" fillId="5" borderId="22" xfId="0" applyFont="1" applyFill="1" applyBorder="1" applyAlignment="1" applyProtection="1">
      <alignment horizontal="center" vertical="center" wrapText="1"/>
      <protection hidden="1"/>
    </xf>
    <xf numFmtId="0" fontId="2" fillId="5" borderId="110" xfId="0" applyFont="1" applyFill="1" applyBorder="1" applyAlignment="1" applyProtection="1">
      <alignment horizontal="center" vertical="center"/>
      <protection hidden="1"/>
    </xf>
    <xf numFmtId="0" fontId="2" fillId="5" borderId="110" xfId="1" applyFont="1" applyFill="1" applyBorder="1" applyAlignment="1" applyProtection="1">
      <alignment horizontal="center" vertical="center"/>
      <protection hidden="1"/>
    </xf>
    <xf numFmtId="0" fontId="15" fillId="5" borderId="112" xfId="0" applyFont="1" applyFill="1" applyBorder="1" applyAlignment="1" applyProtection="1">
      <alignment vertical="center"/>
      <protection hidden="1"/>
    </xf>
    <xf numFmtId="0" fontId="70" fillId="5" borderId="112" xfId="0" applyFont="1" applyFill="1" applyBorder="1" applyAlignment="1" applyProtection="1">
      <alignment vertical="center" wrapText="1"/>
      <protection hidden="1"/>
    </xf>
    <xf numFmtId="0" fontId="70" fillId="5" borderId="113" xfId="0" applyFont="1" applyFill="1" applyBorder="1" applyAlignment="1" applyProtection="1">
      <alignment vertical="center" wrapText="1"/>
      <protection hidden="1"/>
    </xf>
    <xf numFmtId="0" fontId="70" fillId="5" borderId="114" xfId="0" applyFont="1" applyFill="1" applyBorder="1" applyAlignment="1" applyProtection="1">
      <alignment vertical="center" wrapText="1"/>
      <protection hidden="1"/>
    </xf>
    <xf numFmtId="0" fontId="20" fillId="5" borderId="113" xfId="0" applyFont="1" applyFill="1" applyBorder="1" applyAlignment="1" applyProtection="1">
      <alignment horizontal="center" vertical="center" wrapText="1"/>
      <protection hidden="1"/>
    </xf>
    <xf numFmtId="0" fontId="20" fillId="5" borderId="112" xfId="0" applyFont="1" applyFill="1" applyBorder="1" applyAlignment="1" applyProtection="1">
      <alignment horizontal="center" vertical="center" wrapText="1"/>
      <protection hidden="1"/>
    </xf>
    <xf numFmtId="0" fontId="2" fillId="5" borderId="8" xfId="0" applyFont="1" applyFill="1" applyBorder="1" applyAlignment="1" applyProtection="1">
      <alignment vertical="center" wrapText="1"/>
      <protection hidden="1"/>
    </xf>
    <xf numFmtId="0" fontId="66" fillId="5" borderId="8" xfId="0" applyFont="1" applyFill="1" applyBorder="1" applyAlignment="1" applyProtection="1">
      <alignment vertical="center" wrapText="1"/>
      <protection hidden="1"/>
    </xf>
    <xf numFmtId="0" fontId="23" fillId="5" borderId="23" xfId="0" applyFont="1" applyFill="1" applyBorder="1" applyAlignment="1" applyProtection="1">
      <alignment horizontal="right" vertical="center"/>
      <protection hidden="1"/>
    </xf>
    <xf numFmtId="0" fontId="2" fillId="5" borderId="113" xfId="0" applyFont="1" applyFill="1" applyBorder="1" applyAlignment="1" applyProtection="1">
      <alignment horizontal="center" vertical="center" wrapText="1"/>
      <protection hidden="1"/>
    </xf>
    <xf numFmtId="0" fontId="0" fillId="5" borderId="112" xfId="0" applyFill="1" applyBorder="1" applyAlignment="1" applyProtection="1">
      <alignment vertical="center"/>
      <protection hidden="1"/>
    </xf>
    <xf numFmtId="0" fontId="2" fillId="5" borderId="114" xfId="0" applyFont="1" applyFill="1" applyBorder="1" applyAlignment="1" applyProtection="1">
      <alignment vertical="center" wrapText="1"/>
      <protection hidden="1"/>
    </xf>
    <xf numFmtId="0" fontId="15" fillId="5" borderId="114" xfId="0" applyFont="1" applyFill="1" applyBorder="1" applyAlignment="1" applyProtection="1">
      <alignment vertical="center" wrapText="1"/>
      <protection hidden="1"/>
    </xf>
    <xf numFmtId="0" fontId="23" fillId="5" borderId="102" xfId="0" applyFont="1" applyFill="1" applyBorder="1" applyAlignment="1" applyProtection="1">
      <alignment horizontal="right" wrapText="1"/>
      <protection hidden="1"/>
    </xf>
    <xf numFmtId="0" fontId="22" fillId="5" borderId="115" xfId="0" applyFont="1" applyFill="1" applyBorder="1" applyAlignment="1" applyProtection="1">
      <alignment wrapText="1"/>
      <protection hidden="1"/>
    </xf>
    <xf numFmtId="0" fontId="22" fillId="5" borderId="24" xfId="0" applyFont="1" applyFill="1" applyBorder="1" applyAlignment="1" applyProtection="1">
      <alignment wrapText="1"/>
      <protection hidden="1"/>
    </xf>
    <xf numFmtId="0" fontId="65" fillId="5" borderId="63" xfId="0" applyNumberFormat="1" applyFont="1" applyFill="1" applyBorder="1" applyAlignment="1" applyProtection="1">
      <alignment horizontal="center" wrapText="1"/>
      <protection hidden="1"/>
    </xf>
    <xf numFmtId="0" fontId="65" fillId="5" borderId="116" xfId="0" applyNumberFormat="1" applyFont="1" applyFill="1" applyBorder="1" applyAlignment="1" applyProtection="1">
      <alignment horizontal="center" wrapText="1"/>
      <protection hidden="1"/>
    </xf>
    <xf numFmtId="0" fontId="2" fillId="5" borderId="93" xfId="0" applyFont="1" applyFill="1" applyBorder="1" applyAlignment="1" applyProtection="1">
      <alignment horizontal="center" vertical="center" wrapText="1"/>
      <protection hidden="1"/>
    </xf>
    <xf numFmtId="0" fontId="15" fillId="5" borderId="113" xfId="0" applyFont="1" applyFill="1" applyBorder="1" applyAlignment="1" applyProtection="1">
      <alignment vertical="center"/>
      <protection hidden="1"/>
    </xf>
    <xf numFmtId="0" fontId="15" fillId="5" borderId="93" xfId="0" applyFont="1" applyFill="1" applyBorder="1" applyAlignment="1" applyProtection="1">
      <alignment vertical="center" wrapText="1"/>
      <protection hidden="1"/>
    </xf>
    <xf numFmtId="0" fontId="10" fillId="5" borderId="114" xfId="0" applyFont="1" applyFill="1" applyBorder="1" applyAlignment="1" applyProtection="1">
      <alignment horizontal="center" vertical="center" wrapText="1"/>
      <protection hidden="1"/>
    </xf>
    <xf numFmtId="0" fontId="0" fillId="5" borderId="93" xfId="0" applyFill="1" applyBorder="1" applyAlignment="1" applyProtection="1">
      <alignment vertical="center"/>
      <protection hidden="1"/>
    </xf>
    <xf numFmtId="0" fontId="2" fillId="5" borderId="110" xfId="0" applyFont="1" applyFill="1" applyBorder="1" applyAlignment="1" applyProtection="1">
      <alignment horizontal="center" vertical="center" wrapText="1"/>
      <protection hidden="1"/>
    </xf>
    <xf numFmtId="0" fontId="2" fillId="5" borderId="117" xfId="0" applyFont="1" applyFill="1" applyBorder="1" applyAlignment="1" applyProtection="1">
      <alignment vertical="center" wrapText="1"/>
      <protection hidden="1"/>
    </xf>
    <xf numFmtId="0" fontId="3" fillId="0" borderId="118" xfId="0" applyFont="1" applyBorder="1" applyAlignment="1" applyProtection="1">
      <alignment horizontal="center" vertical="center"/>
      <protection hidden="1"/>
    </xf>
    <xf numFmtId="0" fontId="10" fillId="0" borderId="61" xfId="0" applyFont="1" applyFill="1" applyBorder="1" applyAlignment="1" applyProtection="1">
      <alignment vertical="center" wrapText="1"/>
      <protection hidden="1"/>
    </xf>
    <xf numFmtId="0" fontId="10" fillId="0" borderId="12" xfId="0" applyFont="1" applyBorder="1" applyAlignment="1" applyProtection="1">
      <alignment horizontal="right" vertical="center"/>
      <protection hidden="1"/>
    </xf>
    <xf numFmtId="0" fontId="0" fillId="0" borderId="119" xfId="0" applyBorder="1" applyAlignment="1" applyProtection="1">
      <alignment vertical="center"/>
      <protection hidden="1"/>
    </xf>
    <xf numFmtId="0" fontId="13" fillId="0" borderId="6" xfId="0" applyFont="1" applyBorder="1" applyAlignment="1" applyProtection="1">
      <alignment horizontal="center" vertical="center" wrapText="1"/>
      <protection hidden="1"/>
    </xf>
    <xf numFmtId="49" fontId="10" fillId="2" borderId="0" xfId="0" applyNumberFormat="1" applyFont="1" applyFill="1" applyBorder="1" applyAlignment="1" applyProtection="1">
      <alignment horizontal="center"/>
      <protection hidden="1"/>
    </xf>
    <xf numFmtId="49" fontId="50" fillId="0" borderId="0" xfId="0" applyNumberFormat="1" applyFont="1" applyFill="1" applyBorder="1" applyAlignment="1" applyProtection="1">
      <alignment horizontal="center" wrapText="1"/>
      <protection hidden="1"/>
    </xf>
    <xf numFmtId="0" fontId="0" fillId="0" borderId="120" xfId="0" applyBorder="1" applyAlignment="1" applyProtection="1">
      <alignment vertical="center"/>
      <protection hidden="1"/>
    </xf>
    <xf numFmtId="0" fontId="10" fillId="0" borderId="0" xfId="0" applyFont="1" applyAlignment="1" applyProtection="1">
      <alignment vertical="center"/>
      <protection hidden="1"/>
    </xf>
    <xf numFmtId="17" fontId="10" fillId="0" borderId="92" xfId="0" applyNumberFormat="1" applyFont="1" applyBorder="1" applyAlignment="1" applyProtection="1">
      <alignment horizontal="center" vertical="center" wrapText="1"/>
      <protection hidden="1"/>
    </xf>
    <xf numFmtId="0" fontId="3" fillId="0" borderId="122" xfId="0" applyFont="1" applyFill="1" applyBorder="1" applyAlignment="1" applyProtection="1">
      <alignment horizontal="center" vertical="center"/>
      <protection hidden="1"/>
    </xf>
    <xf numFmtId="0" fontId="10" fillId="0" borderId="61" xfId="0" applyFont="1" applyFill="1" applyBorder="1" applyAlignment="1" applyProtection="1">
      <alignment horizontal="left" vertical="center"/>
      <protection hidden="1"/>
    </xf>
    <xf numFmtId="0" fontId="10" fillId="0" borderId="13" xfId="0" applyFont="1" applyFill="1" applyBorder="1" applyAlignment="1" applyProtection="1">
      <alignment horizontal="left" vertical="center"/>
      <protection hidden="1"/>
    </xf>
    <xf numFmtId="0" fontId="10" fillId="0" borderId="45" xfId="0" applyFont="1" applyFill="1" applyBorder="1" applyAlignment="1" applyProtection="1">
      <alignment horizontal="left" vertical="center"/>
      <protection hidden="1"/>
    </xf>
    <xf numFmtId="0" fontId="10" fillId="0" borderId="23" xfId="0" applyFont="1" applyFill="1" applyBorder="1" applyAlignment="1" applyProtection="1">
      <alignment horizontal="left" vertical="center"/>
      <protection hidden="1"/>
    </xf>
    <xf numFmtId="0" fontId="10" fillId="0" borderId="43" xfId="0" applyFont="1" applyFill="1" applyBorder="1" applyAlignment="1" applyProtection="1">
      <alignment horizontal="left" vertical="center"/>
      <protection hidden="1"/>
    </xf>
    <xf numFmtId="0" fontId="10" fillId="0" borderId="4" xfId="0" applyFont="1" applyFill="1" applyBorder="1" applyAlignment="1" applyProtection="1">
      <alignment horizontal="left" vertical="center"/>
      <protection hidden="1"/>
    </xf>
    <xf numFmtId="0" fontId="10" fillId="0" borderId="5" xfId="0" applyFont="1" applyBorder="1" applyAlignment="1" applyProtection="1">
      <alignment horizontal="center" vertical="center"/>
      <protection hidden="1"/>
    </xf>
    <xf numFmtId="0" fontId="17" fillId="0" borderId="84" xfId="0" applyFont="1" applyFill="1" applyBorder="1" applyAlignment="1" applyProtection="1">
      <alignment horizontal="center" vertical="center" wrapText="1"/>
      <protection hidden="1"/>
    </xf>
    <xf numFmtId="0" fontId="81" fillId="0" borderId="67" xfId="0" applyFont="1" applyBorder="1" applyAlignment="1" applyProtection="1">
      <alignment vertical="center" wrapText="1"/>
      <protection hidden="1"/>
    </xf>
    <xf numFmtId="0" fontId="0" fillId="0" borderId="78" xfId="0" applyBorder="1" applyAlignment="1" applyProtection="1">
      <alignment vertical="center"/>
      <protection hidden="1"/>
    </xf>
    <xf numFmtId="0" fontId="2" fillId="5" borderId="69" xfId="0" applyFont="1" applyFill="1" applyBorder="1" applyAlignment="1" applyProtection="1">
      <alignment horizontal="center"/>
      <protection hidden="1"/>
    </xf>
    <xf numFmtId="0" fontId="0" fillId="0" borderId="98" xfId="0" applyBorder="1" applyAlignment="1" applyProtection="1">
      <alignment horizontal="center" vertical="center"/>
      <protection hidden="1"/>
    </xf>
    <xf numFmtId="0" fontId="23" fillId="0" borderId="98" xfId="0" applyFont="1" applyBorder="1" applyAlignment="1" applyProtection="1">
      <alignment horizontal="left" vertical="top"/>
      <protection hidden="1"/>
    </xf>
    <xf numFmtId="0" fontId="55" fillId="0" borderId="98" xfId="1" applyFont="1" applyBorder="1" applyAlignment="1" applyProtection="1">
      <alignment horizontal="center" vertical="center"/>
      <protection hidden="1"/>
    </xf>
    <xf numFmtId="0" fontId="3" fillId="0" borderId="67" xfId="0" applyFont="1" applyBorder="1" applyAlignment="1" applyProtection="1">
      <alignment horizontal="center" vertical="center"/>
      <protection hidden="1"/>
    </xf>
    <xf numFmtId="49" fontId="10" fillId="0" borderId="6" xfId="0" applyNumberFormat="1" applyFont="1" applyBorder="1" applyAlignment="1" applyProtection="1">
      <alignment vertical="center"/>
      <protection hidden="1"/>
    </xf>
    <xf numFmtId="0" fontId="10" fillId="0" borderId="3" xfId="0" applyFont="1" applyBorder="1" applyAlignment="1" applyProtection="1">
      <alignment horizontal="right" vertical="center"/>
      <protection hidden="1"/>
    </xf>
    <xf numFmtId="0" fontId="10" fillId="0" borderId="19" xfId="0" applyFont="1" applyBorder="1" applyAlignment="1" applyProtection="1">
      <alignment horizontal="left" vertical="center"/>
      <protection hidden="1"/>
    </xf>
    <xf numFmtId="0" fontId="10" fillId="0" borderId="75" xfId="0" applyFont="1" applyFill="1" applyBorder="1" applyAlignment="1" applyProtection="1">
      <alignment horizontal="left" vertical="center"/>
      <protection hidden="1"/>
    </xf>
    <xf numFmtId="0" fontId="10" fillId="0" borderId="16" xfId="0" applyNumberFormat="1" applyFont="1" applyBorder="1" applyAlignment="1" applyProtection="1">
      <alignment horizontal="left" vertical="center"/>
      <protection hidden="1"/>
    </xf>
    <xf numFmtId="0" fontId="10" fillId="0" borderId="16" xfId="0" applyFont="1" applyBorder="1" applyAlignment="1" applyProtection="1">
      <alignment vertical="center"/>
      <protection hidden="1"/>
    </xf>
    <xf numFmtId="49" fontId="10" fillId="0" borderId="16" xfId="0" applyNumberFormat="1" applyFont="1" applyBorder="1" applyAlignment="1" applyProtection="1">
      <alignment vertical="center"/>
      <protection hidden="1"/>
    </xf>
    <xf numFmtId="0" fontId="10" fillId="0" borderId="18" xfId="0" applyFont="1" applyBorder="1" applyAlignment="1" applyProtection="1">
      <alignment vertical="center"/>
      <protection hidden="1"/>
    </xf>
    <xf numFmtId="0" fontId="10" fillId="0" borderId="5" xfId="0" applyNumberFormat="1" applyFont="1" applyBorder="1" applyAlignment="1" applyProtection="1">
      <alignment horizontal="center" vertical="center"/>
      <protection hidden="1"/>
    </xf>
    <xf numFmtId="0" fontId="10" fillId="0" borderId="12" xfId="0" applyNumberFormat="1" applyFont="1" applyBorder="1" applyAlignment="1" applyProtection="1">
      <alignment horizontal="left" vertical="center"/>
      <protection hidden="1"/>
    </xf>
    <xf numFmtId="0" fontId="10" fillId="0" borderId="5" xfId="0" applyFont="1" applyBorder="1" applyAlignment="1" applyProtection="1">
      <alignment vertical="center"/>
      <protection hidden="1"/>
    </xf>
    <xf numFmtId="49" fontId="10" fillId="0" borderId="5" xfId="0" applyNumberFormat="1" applyFont="1" applyBorder="1" applyAlignment="1" applyProtection="1">
      <alignment vertical="center"/>
      <protection hidden="1"/>
    </xf>
    <xf numFmtId="0" fontId="10" fillId="0" borderId="13" xfId="0" applyFont="1" applyBorder="1" applyAlignment="1" applyProtection="1">
      <alignment vertical="center"/>
      <protection hidden="1"/>
    </xf>
    <xf numFmtId="49" fontId="10" fillId="0" borderId="13" xfId="0" applyNumberFormat="1" applyFont="1" applyBorder="1" applyAlignment="1" applyProtection="1">
      <alignment vertical="center"/>
      <protection hidden="1"/>
    </xf>
    <xf numFmtId="0" fontId="10" fillId="0" borderId="0" xfId="0" applyFont="1" applyFill="1" applyBorder="1" applyAlignment="1" applyProtection="1">
      <alignment vertical="center" wrapText="1"/>
      <protection hidden="1"/>
    </xf>
    <xf numFmtId="0" fontId="0" fillId="0" borderId="68" xfId="0" applyBorder="1" applyAlignment="1" applyProtection="1">
      <alignment vertical="center"/>
      <protection hidden="1"/>
    </xf>
    <xf numFmtId="0" fontId="0" fillId="0" borderId="128" xfId="0" applyBorder="1" applyAlignment="1" applyProtection="1">
      <alignment vertical="center"/>
      <protection hidden="1"/>
    </xf>
    <xf numFmtId="0" fontId="0" fillId="0" borderId="129" xfId="0" applyBorder="1" applyAlignment="1" applyProtection="1">
      <alignment vertical="center"/>
      <protection hidden="1"/>
    </xf>
    <xf numFmtId="0" fontId="10" fillId="0" borderId="12" xfId="0" applyFont="1" applyBorder="1" applyAlignment="1" applyProtection="1">
      <alignment horizontal="left" vertical="center"/>
      <protection hidden="1"/>
    </xf>
    <xf numFmtId="0" fontId="0" fillId="0" borderId="130" xfId="0" applyBorder="1" applyAlignment="1" applyProtection="1">
      <alignment vertical="center"/>
      <protection hidden="1"/>
    </xf>
    <xf numFmtId="0" fontId="10" fillId="6" borderId="63" xfId="0" applyFont="1" applyFill="1" applyBorder="1" applyAlignment="1" applyProtection="1">
      <alignment horizontal="center" vertical="center"/>
      <protection hidden="1"/>
    </xf>
    <xf numFmtId="0" fontId="10" fillId="0" borderId="0" xfId="0" applyFont="1" applyBorder="1" applyAlignment="1" applyProtection="1">
      <alignment vertical="center" textRotation="90"/>
      <protection hidden="1"/>
    </xf>
    <xf numFmtId="0" fontId="10" fillId="0" borderId="11" xfId="0" applyFont="1" applyBorder="1" applyAlignment="1" applyProtection="1">
      <alignment horizontal="right" vertical="center"/>
      <protection hidden="1"/>
    </xf>
    <xf numFmtId="0" fontId="10" fillId="0" borderId="11" xfId="0" applyFont="1" applyBorder="1" applyAlignment="1" applyProtection="1">
      <alignment horizontal="left" vertical="center"/>
      <protection hidden="1"/>
    </xf>
    <xf numFmtId="0" fontId="10" fillId="0" borderId="23" xfId="0" applyFont="1" applyBorder="1" applyAlignment="1" applyProtection="1">
      <alignment horizontal="left" vertical="center"/>
      <protection hidden="1"/>
    </xf>
    <xf numFmtId="0" fontId="10" fillId="0" borderId="10" xfId="0" applyFont="1" applyBorder="1" applyAlignment="1" applyProtection="1">
      <alignment horizontal="right" vertical="center"/>
      <protection hidden="1"/>
    </xf>
    <xf numFmtId="0" fontId="10" fillId="0" borderId="43" xfId="0" applyFont="1" applyBorder="1" applyAlignment="1" applyProtection="1">
      <alignment horizontal="right" vertical="center"/>
      <protection hidden="1"/>
    </xf>
    <xf numFmtId="0" fontId="10" fillId="0" borderId="61" xfId="0" applyFont="1" applyBorder="1" applyAlignment="1" applyProtection="1">
      <alignment horizontal="right" vertical="center"/>
      <protection hidden="1"/>
    </xf>
    <xf numFmtId="0" fontId="10" fillId="0" borderId="45" xfId="0" applyFont="1" applyBorder="1" applyAlignment="1" applyProtection="1">
      <alignment horizontal="right" vertical="center"/>
      <protection hidden="1"/>
    </xf>
    <xf numFmtId="0" fontId="10" fillId="0" borderId="5" xfId="0" applyFont="1" applyBorder="1" applyAlignment="1" applyProtection="1">
      <alignment horizontal="right" vertical="center"/>
      <protection hidden="1"/>
    </xf>
    <xf numFmtId="0" fontId="10" fillId="0" borderId="8" xfId="0" applyFont="1" applyBorder="1" applyAlignment="1" applyProtection="1">
      <alignment horizontal="right" vertical="center"/>
      <protection hidden="1"/>
    </xf>
    <xf numFmtId="0" fontId="17" fillId="0" borderId="121" xfId="0" applyFont="1" applyFill="1" applyBorder="1" applyAlignment="1" applyProtection="1">
      <alignment vertical="center" wrapText="1"/>
      <protection hidden="1"/>
    </xf>
    <xf numFmtId="0" fontId="10" fillId="0" borderId="89" xfId="0" applyNumberFormat="1" applyFont="1" applyBorder="1" applyAlignment="1" applyProtection="1">
      <alignment horizontal="center" vertical="center"/>
      <protection hidden="1"/>
    </xf>
    <xf numFmtId="0" fontId="10" fillId="0" borderId="91" xfId="0" applyNumberFormat="1" applyFont="1" applyBorder="1" applyAlignment="1" applyProtection="1">
      <alignment horizontal="left" vertical="center"/>
      <protection hidden="1"/>
    </xf>
    <xf numFmtId="0" fontId="10" fillId="0" borderId="89" xfId="0" applyFont="1" applyBorder="1" applyAlignment="1" applyProtection="1">
      <alignment vertical="center"/>
      <protection hidden="1"/>
    </xf>
    <xf numFmtId="49" fontId="10" fillId="0" borderId="89" xfId="0" applyNumberFormat="1" applyFont="1" applyBorder="1" applyAlignment="1" applyProtection="1">
      <alignment vertical="center"/>
      <protection hidden="1"/>
    </xf>
    <xf numFmtId="49" fontId="10" fillId="0" borderId="90" xfId="0" applyNumberFormat="1" applyFont="1" applyBorder="1" applyAlignment="1" applyProtection="1">
      <alignment vertical="center"/>
      <protection hidden="1"/>
    </xf>
    <xf numFmtId="0" fontId="0" fillId="0" borderId="134" xfId="0" applyBorder="1" applyAlignment="1" applyProtection="1">
      <alignment vertical="center"/>
      <protection hidden="1"/>
    </xf>
    <xf numFmtId="0" fontId="5" fillId="0" borderId="0" xfId="0" applyFont="1" applyFill="1" applyBorder="1" applyAlignment="1" applyProtection="1">
      <alignment horizontal="center" vertical="center"/>
      <protection hidden="1"/>
    </xf>
    <xf numFmtId="0" fontId="58" fillId="0" borderId="0" xfId="0" applyFont="1" applyFill="1" applyBorder="1" applyAlignment="1" applyProtection="1">
      <alignment horizontal="center" vertical="center"/>
      <protection hidden="1"/>
    </xf>
    <xf numFmtId="0" fontId="65" fillId="0" borderId="139" xfId="0" applyFont="1" applyFill="1" applyBorder="1" applyAlignment="1" applyProtection="1">
      <alignment horizontal="center" vertical="center" wrapText="1"/>
      <protection hidden="1"/>
    </xf>
    <xf numFmtId="0" fontId="10" fillId="0" borderId="149" xfId="0" applyFont="1" applyFill="1" applyBorder="1" applyAlignment="1" applyProtection="1">
      <alignment horizontal="center" vertical="center" wrapText="1"/>
      <protection hidden="1"/>
    </xf>
    <xf numFmtId="0" fontId="10" fillId="0" borderId="82" xfId="0" applyFont="1" applyBorder="1" applyAlignment="1" applyProtection="1">
      <alignment horizontal="center" vertical="center" wrapText="1"/>
      <protection hidden="1"/>
    </xf>
    <xf numFmtId="0" fontId="65" fillId="5" borderId="82" xfId="0" applyNumberFormat="1" applyFont="1" applyFill="1" applyBorder="1" applyAlignment="1" applyProtection="1">
      <alignment horizontal="center" wrapText="1"/>
      <protection hidden="1"/>
    </xf>
    <xf numFmtId="0" fontId="65" fillId="5" borderId="23" xfId="0" applyNumberFormat="1" applyFont="1" applyFill="1" applyBorder="1" applyAlignment="1" applyProtection="1">
      <alignment horizontal="center" wrapText="1"/>
      <protection hidden="1"/>
    </xf>
    <xf numFmtId="0" fontId="10" fillId="0" borderId="0" xfId="0" applyFont="1" applyFill="1" applyBorder="1" applyAlignment="1" applyProtection="1">
      <alignment horizontal="right" vertical="center"/>
      <protection hidden="1"/>
    </xf>
    <xf numFmtId="0" fontId="4" fillId="0" borderId="0" xfId="0" applyFont="1" applyFill="1" applyAlignment="1" applyProtection="1">
      <protection hidden="1"/>
    </xf>
    <xf numFmtId="0" fontId="5" fillId="0" borderId="0" xfId="0" applyFont="1" applyBorder="1" applyAlignment="1" applyProtection="1">
      <alignment horizontal="center" vertical="center"/>
      <protection hidden="1"/>
    </xf>
    <xf numFmtId="0" fontId="3" fillId="0" borderId="64" xfId="0" applyFont="1" applyBorder="1" applyAlignment="1" applyProtection="1">
      <alignment horizontal="center" vertical="center"/>
      <protection hidden="1"/>
    </xf>
    <xf numFmtId="0" fontId="116" fillId="0" borderId="0" xfId="0" applyFont="1" applyAlignment="1" applyProtection="1">
      <protection hidden="1"/>
    </xf>
    <xf numFmtId="0" fontId="113" fillId="0" borderId="5" xfId="0" applyFont="1" applyBorder="1" applyAlignment="1" applyProtection="1">
      <alignment horizontal="right" vertical="center"/>
      <protection hidden="1"/>
    </xf>
    <xf numFmtId="0" fontId="113" fillId="0" borderId="0" xfId="0" applyFont="1" applyFill="1" applyBorder="1" applyAlignment="1" applyProtection="1">
      <alignment horizontal="left" vertical="center"/>
      <protection hidden="1"/>
    </xf>
    <xf numFmtId="0" fontId="113" fillId="0" borderId="0" xfId="0" applyFont="1" applyFill="1" applyBorder="1" applyAlignment="1" applyProtection="1">
      <alignment horizontal="center" vertical="center"/>
      <protection hidden="1"/>
    </xf>
    <xf numFmtId="0" fontId="113" fillId="0" borderId="0" xfId="0" applyFont="1" applyFill="1" applyBorder="1" applyAlignment="1" applyProtection="1">
      <alignment horizontal="right" vertical="center"/>
      <protection hidden="1"/>
    </xf>
    <xf numFmtId="0" fontId="13" fillId="0" borderId="0" xfId="0" applyFont="1" applyFill="1" applyBorder="1" applyAlignment="1" applyProtection="1">
      <alignment horizontal="center" vertical="center"/>
      <protection hidden="1"/>
    </xf>
    <xf numFmtId="0" fontId="10" fillId="0" borderId="0" xfId="0" applyFont="1" applyFill="1" applyBorder="1" applyAlignment="1" applyProtection="1">
      <alignment vertical="center"/>
      <protection hidden="1"/>
    </xf>
    <xf numFmtId="0" fontId="3" fillId="0" borderId="0" xfId="0" applyFont="1" applyFill="1" applyBorder="1" applyAlignment="1" applyProtection="1">
      <alignment horizontal="center" vertical="center" textRotation="90"/>
      <protection hidden="1"/>
    </xf>
    <xf numFmtId="0" fontId="2" fillId="7" borderId="147" xfId="0" applyFont="1" applyFill="1" applyBorder="1" applyAlignment="1" applyProtection="1">
      <alignment horizontal="center" vertical="center"/>
      <protection hidden="1"/>
    </xf>
    <xf numFmtId="0" fontId="2" fillId="7" borderId="146" xfId="0" applyFont="1" applyFill="1" applyBorder="1" applyAlignment="1" applyProtection="1">
      <alignment horizontal="center" vertical="center"/>
      <protection hidden="1"/>
    </xf>
    <xf numFmtId="0" fontId="3" fillId="0" borderId="0" xfId="0" applyFont="1" applyFill="1" applyBorder="1" applyAlignment="1" applyProtection="1">
      <alignment horizontal="right" vertical="center"/>
      <protection hidden="1"/>
    </xf>
    <xf numFmtId="0" fontId="17" fillId="0" borderId="43" xfId="0" applyFont="1" applyFill="1" applyBorder="1" applyAlignment="1" applyProtection="1">
      <alignment vertical="center" wrapText="1"/>
      <protection hidden="1"/>
    </xf>
    <xf numFmtId="0" fontId="17" fillId="0" borderId="25" xfId="0" applyFont="1" applyFill="1" applyBorder="1" applyAlignment="1" applyProtection="1">
      <alignment vertical="center" wrapText="1"/>
      <protection hidden="1"/>
    </xf>
    <xf numFmtId="0" fontId="10" fillId="0" borderId="86" xfId="0" applyFont="1" applyFill="1" applyBorder="1" applyAlignment="1" applyProtection="1">
      <alignment horizontal="center" vertical="center" wrapText="1"/>
      <protection hidden="1"/>
    </xf>
    <xf numFmtId="0" fontId="17" fillId="0" borderId="12" xfId="0" applyFont="1" applyFill="1" applyBorder="1" applyAlignment="1" applyProtection="1">
      <alignment horizontal="right" vertical="center" wrapText="1"/>
      <protection hidden="1"/>
    </xf>
    <xf numFmtId="168" fontId="0" fillId="0" borderId="0" xfId="0" applyNumberFormat="1" applyAlignment="1" applyProtection="1">
      <alignment vertical="center"/>
      <protection hidden="1"/>
    </xf>
    <xf numFmtId="0" fontId="17" fillId="0" borderId="45" xfId="0" applyFont="1" applyFill="1" applyBorder="1" applyAlignment="1" applyProtection="1">
      <alignment vertical="center" wrapText="1"/>
      <protection hidden="1"/>
    </xf>
    <xf numFmtId="0" fontId="17" fillId="0" borderId="11" xfId="0" applyFont="1" applyFill="1" applyBorder="1" applyAlignment="1" applyProtection="1">
      <alignment horizontal="right" vertical="center" wrapText="1"/>
      <protection hidden="1"/>
    </xf>
    <xf numFmtId="0" fontId="17" fillId="0" borderId="8" xfId="0" applyFont="1" applyFill="1" applyBorder="1" applyAlignment="1" applyProtection="1">
      <alignment horizontal="right" vertical="center" wrapText="1"/>
      <protection hidden="1"/>
    </xf>
    <xf numFmtId="0" fontId="17" fillId="0" borderId="8" xfId="0" applyFont="1" applyFill="1" applyBorder="1" applyAlignment="1" applyProtection="1">
      <alignment vertical="center" wrapText="1"/>
      <protection hidden="1"/>
    </xf>
    <xf numFmtId="0" fontId="55" fillId="0" borderId="94" xfId="1" applyFont="1" applyBorder="1" applyAlignment="1" applyProtection="1">
      <alignment horizontal="center" vertical="center"/>
      <protection hidden="1"/>
    </xf>
    <xf numFmtId="0" fontId="72" fillId="0" borderId="154" xfId="0" applyFont="1" applyFill="1" applyBorder="1" applyAlignment="1" applyProtection="1">
      <alignment horizontal="center" vertical="center" wrapText="1"/>
      <protection hidden="1"/>
    </xf>
    <xf numFmtId="0" fontId="17" fillId="0" borderId="8" xfId="0" applyFont="1" applyFill="1" applyBorder="1" applyAlignment="1" applyProtection="1">
      <alignment vertical="center"/>
      <protection hidden="1"/>
    </xf>
    <xf numFmtId="0" fontId="17" fillId="0" borderId="3" xfId="0" applyFont="1" applyFill="1" applyBorder="1" applyAlignment="1" applyProtection="1">
      <alignment horizontal="right" vertical="center"/>
      <protection hidden="1"/>
    </xf>
    <xf numFmtId="0" fontId="17" fillId="0" borderId="16" xfId="0" applyFont="1" applyFill="1" applyBorder="1" applyAlignment="1" applyProtection="1">
      <alignment horizontal="right" vertical="center" wrapText="1"/>
      <protection hidden="1"/>
    </xf>
    <xf numFmtId="16" fontId="17" fillId="0" borderId="16" xfId="0" applyNumberFormat="1" applyFont="1" applyFill="1" applyBorder="1" applyAlignment="1" applyProtection="1">
      <alignment horizontal="center" vertical="center" wrapText="1"/>
      <protection hidden="1"/>
    </xf>
    <xf numFmtId="0" fontId="2" fillId="0" borderId="77" xfId="0" applyFont="1" applyFill="1" applyBorder="1" applyAlignment="1" applyProtection="1">
      <alignment horizontal="center" vertical="center"/>
      <protection hidden="1"/>
    </xf>
    <xf numFmtId="0" fontId="15" fillId="0" borderId="3" xfId="0" applyFont="1" applyFill="1" applyBorder="1" applyAlignment="1" applyProtection="1">
      <alignment vertical="center" wrapText="1"/>
      <protection hidden="1"/>
    </xf>
    <xf numFmtId="0" fontId="17" fillId="0" borderId="125" xfId="0" applyFont="1" applyFill="1" applyBorder="1" applyAlignment="1" applyProtection="1">
      <alignment vertical="center" wrapText="1"/>
      <protection hidden="1"/>
    </xf>
    <xf numFmtId="0" fontId="17" fillId="0" borderId="149" xfId="0" applyFont="1" applyFill="1" applyBorder="1" applyAlignment="1" applyProtection="1">
      <alignment horizontal="center" vertical="center" wrapText="1"/>
      <protection hidden="1"/>
    </xf>
    <xf numFmtId="0" fontId="17" fillId="0" borderId="125" xfId="0" applyFont="1" applyFill="1" applyBorder="1" applyAlignment="1" applyProtection="1">
      <alignment vertical="center"/>
      <protection hidden="1"/>
    </xf>
    <xf numFmtId="0" fontId="0" fillId="0" borderId="8" xfId="0" applyBorder="1" applyAlignment="1" applyProtection="1">
      <alignment vertical="center"/>
      <protection hidden="1"/>
    </xf>
    <xf numFmtId="0" fontId="10" fillId="0" borderId="97" xfId="0" applyFont="1" applyBorder="1" applyAlignment="1" applyProtection="1">
      <alignment horizontal="center" vertical="center"/>
      <protection hidden="1"/>
    </xf>
    <xf numFmtId="0" fontId="1" fillId="0" borderId="5" xfId="0" applyFont="1" applyBorder="1" applyAlignment="1" applyProtection="1">
      <alignment vertical="center"/>
      <protection hidden="1"/>
    </xf>
    <xf numFmtId="0" fontId="10" fillId="0" borderId="85" xfId="0" applyFont="1" applyBorder="1" applyAlignment="1" applyProtection="1">
      <alignment horizontal="center" vertical="center"/>
      <protection hidden="1"/>
    </xf>
    <xf numFmtId="0" fontId="10" fillId="0" borderId="8" xfId="0" applyFont="1" applyBorder="1" applyAlignment="1" applyProtection="1">
      <alignment vertical="center"/>
      <protection hidden="1"/>
    </xf>
    <xf numFmtId="0" fontId="10" fillId="0" borderId="23" xfId="0" applyFont="1" applyBorder="1" applyAlignment="1" applyProtection="1">
      <alignment horizontal="center" vertical="center"/>
      <protection hidden="1"/>
    </xf>
    <xf numFmtId="0" fontId="17" fillId="0" borderId="70" xfId="0" applyFont="1" applyFill="1" applyBorder="1" applyAlignment="1" applyProtection="1">
      <alignment horizontal="right" vertical="center" wrapText="1"/>
      <protection hidden="1"/>
    </xf>
    <xf numFmtId="0" fontId="17" fillId="0" borderId="125" xfId="0" applyFont="1" applyFill="1" applyBorder="1" applyAlignment="1" applyProtection="1">
      <alignment horizontal="center" vertical="center" wrapText="1"/>
      <protection hidden="1"/>
    </xf>
    <xf numFmtId="0" fontId="129" fillId="0" borderId="4" xfId="0" applyFont="1" applyFill="1" applyBorder="1" applyAlignment="1" applyProtection="1">
      <alignment horizontal="left" vertical="center" wrapText="1"/>
      <protection locked="0"/>
    </xf>
    <xf numFmtId="0" fontId="104" fillId="0" borderId="13" xfId="0" applyFont="1" applyFill="1" applyBorder="1" applyAlignment="1" applyProtection="1">
      <alignment horizontal="left" vertical="center" wrapText="1"/>
      <protection locked="0"/>
    </xf>
    <xf numFmtId="0" fontId="104" fillId="0" borderId="162" xfId="0" applyFont="1" applyFill="1" applyBorder="1" applyAlignment="1" applyProtection="1">
      <alignment horizontal="left" vertical="center" wrapText="1"/>
      <protection locked="0"/>
    </xf>
    <xf numFmtId="0" fontId="17" fillId="0" borderId="6" xfId="0" applyFont="1" applyFill="1" applyBorder="1" applyAlignment="1" applyProtection="1">
      <alignment vertical="center" wrapText="1"/>
      <protection hidden="1"/>
    </xf>
    <xf numFmtId="0" fontId="10" fillId="0" borderId="8" xfId="0" applyFont="1" applyBorder="1" applyAlignment="1" applyProtection="1">
      <alignment horizontal="center" vertical="center"/>
      <protection hidden="1"/>
    </xf>
    <xf numFmtId="0" fontId="10" fillId="0" borderId="16" xfId="0" applyFont="1" applyBorder="1" applyAlignment="1" applyProtection="1">
      <alignment horizontal="right" vertical="center"/>
      <protection hidden="1"/>
    </xf>
    <xf numFmtId="0" fontId="10" fillId="0" borderId="16" xfId="0" applyFont="1" applyBorder="1" applyAlignment="1" applyProtection="1">
      <alignment horizontal="center" vertical="center"/>
      <protection hidden="1"/>
    </xf>
    <xf numFmtId="0" fontId="95" fillId="0" borderId="0" xfId="0" applyFont="1" applyFill="1" applyBorder="1" applyAlignment="1" applyProtection="1">
      <protection hidden="1"/>
    </xf>
    <xf numFmtId="0" fontId="10" fillId="0" borderId="0" xfId="0" applyFont="1" applyBorder="1" applyAlignment="1" applyProtection="1">
      <alignment vertical="center"/>
      <protection hidden="1"/>
    </xf>
    <xf numFmtId="0" fontId="10" fillId="5" borderId="33" xfId="0" applyFont="1" applyFill="1" applyBorder="1" applyAlignment="1" applyProtection="1">
      <alignment horizontal="center" vertical="center" wrapText="1"/>
      <protection hidden="1"/>
    </xf>
    <xf numFmtId="0" fontId="3" fillId="0" borderId="65" xfId="0" applyFont="1" applyBorder="1" applyAlignment="1" applyProtection="1">
      <alignment horizontal="center" vertical="center"/>
      <protection hidden="1"/>
    </xf>
    <xf numFmtId="0" fontId="10" fillId="0" borderId="31" xfId="0" applyFont="1" applyFill="1" applyBorder="1" applyAlignment="1" applyProtection="1">
      <alignment vertical="center" wrapText="1"/>
      <protection hidden="1"/>
    </xf>
    <xf numFmtId="0" fontId="10" fillId="0" borderId="5" xfId="0" applyFont="1" applyFill="1" applyBorder="1" applyAlignment="1" applyProtection="1">
      <alignment vertical="center" wrapText="1"/>
      <protection hidden="1"/>
    </xf>
    <xf numFmtId="0" fontId="10" fillId="0" borderId="23" xfId="0" applyFont="1" applyFill="1" applyBorder="1" applyAlignment="1" applyProtection="1">
      <alignment horizontal="left" vertical="center" wrapText="1"/>
      <protection hidden="1"/>
    </xf>
    <xf numFmtId="0" fontId="10" fillId="0" borderId="13" xfId="0" applyFont="1" applyFill="1" applyBorder="1" applyAlignment="1" applyProtection="1">
      <alignment horizontal="center" vertical="center" wrapText="1"/>
      <protection hidden="1"/>
    </xf>
    <xf numFmtId="0" fontId="10" fillId="0" borderId="1" xfId="0" applyFont="1" applyFill="1" applyBorder="1" applyAlignment="1" applyProtection="1">
      <alignment vertical="center" wrapText="1"/>
      <protection hidden="1"/>
    </xf>
    <xf numFmtId="0" fontId="10" fillId="0" borderId="13" xfId="0" applyFont="1" applyFill="1" applyBorder="1" applyAlignment="1" applyProtection="1">
      <alignment vertical="center" wrapText="1"/>
      <protection hidden="1"/>
    </xf>
    <xf numFmtId="0" fontId="10" fillId="0" borderId="90" xfId="0" applyFont="1" applyFill="1" applyBorder="1" applyAlignment="1" applyProtection="1">
      <alignment horizontal="center" vertical="center" wrapText="1"/>
      <protection hidden="1"/>
    </xf>
    <xf numFmtId="0" fontId="10" fillId="0" borderId="5" xfId="0" applyFont="1" applyFill="1" applyBorder="1" applyAlignment="1" applyProtection="1">
      <alignment horizontal="center" vertical="center"/>
      <protection hidden="1"/>
    </xf>
    <xf numFmtId="0" fontId="10" fillId="0" borderId="3" xfId="0" applyFont="1" applyFill="1" applyBorder="1" applyAlignment="1" applyProtection="1">
      <alignment horizontal="center" vertical="center" wrapText="1"/>
      <protection hidden="1"/>
    </xf>
    <xf numFmtId="0" fontId="10" fillId="0" borderId="4" xfId="0" applyFont="1" applyFill="1" applyBorder="1" applyAlignment="1" applyProtection="1">
      <alignment horizontal="center" vertical="center" wrapText="1"/>
      <protection hidden="1"/>
    </xf>
    <xf numFmtId="0" fontId="17" fillId="0" borderId="61" xfId="0" applyFont="1" applyFill="1" applyBorder="1" applyAlignment="1" applyProtection="1">
      <alignment vertical="center" wrapText="1"/>
      <protection hidden="1"/>
    </xf>
    <xf numFmtId="0" fontId="17" fillId="0" borderId="5" xfId="0" applyFont="1" applyFill="1" applyBorder="1" applyAlignment="1" applyProtection="1">
      <alignment vertical="center" wrapText="1"/>
      <protection hidden="1"/>
    </xf>
    <xf numFmtId="0" fontId="17" fillId="0" borderId="1" xfId="0" applyFont="1" applyFill="1" applyBorder="1" applyAlignment="1" applyProtection="1">
      <alignment vertical="center" wrapText="1"/>
      <protection hidden="1"/>
    </xf>
    <xf numFmtId="0" fontId="17" fillId="0" borderId="10" xfId="0" applyFont="1" applyFill="1" applyBorder="1" applyAlignment="1" applyProtection="1">
      <alignment vertical="center" wrapText="1"/>
      <protection hidden="1"/>
    </xf>
    <xf numFmtId="0" fontId="17" fillId="0" borderId="81" xfId="0" applyFont="1" applyFill="1" applyBorder="1" applyAlignment="1" applyProtection="1">
      <alignment vertical="center" wrapText="1"/>
      <protection hidden="1"/>
    </xf>
    <xf numFmtId="0" fontId="2" fillId="5" borderId="112" xfId="0" applyFont="1" applyFill="1" applyBorder="1" applyAlignment="1" applyProtection="1">
      <alignment vertical="center" wrapText="1"/>
      <protection hidden="1"/>
    </xf>
    <xf numFmtId="0" fontId="17" fillId="0" borderId="82" xfId="0" applyFont="1" applyFill="1" applyBorder="1" applyAlignment="1" applyProtection="1">
      <alignment vertical="center" wrapText="1"/>
      <protection hidden="1"/>
    </xf>
    <xf numFmtId="0" fontId="23" fillId="5" borderId="7" xfId="0" applyFont="1" applyFill="1" applyBorder="1" applyAlignment="1" applyProtection="1">
      <alignment horizontal="center" vertical="center" wrapText="1"/>
      <protection hidden="1"/>
    </xf>
    <xf numFmtId="0" fontId="10" fillId="0" borderId="12" xfId="0" applyFont="1" applyFill="1" applyBorder="1" applyAlignment="1" applyProtection="1">
      <alignment horizontal="center" vertical="center" wrapText="1"/>
      <protection hidden="1"/>
    </xf>
    <xf numFmtId="0" fontId="15" fillId="5" borderId="112" xfId="0" applyFont="1" applyFill="1" applyBorder="1" applyAlignment="1" applyProtection="1">
      <alignment vertical="center" wrapText="1"/>
      <protection hidden="1"/>
    </xf>
    <xf numFmtId="0" fontId="2" fillId="5" borderId="24" xfId="0" applyFont="1" applyFill="1" applyBorder="1" applyAlignment="1" applyProtection="1">
      <alignment vertical="center" wrapText="1"/>
      <protection hidden="1"/>
    </xf>
    <xf numFmtId="0" fontId="10" fillId="0" borderId="0" xfId="0" applyFont="1" applyBorder="1" applyAlignment="1" applyProtection="1">
      <alignment horizontal="center" vertical="center" wrapText="1"/>
      <protection hidden="1"/>
    </xf>
    <xf numFmtId="0" fontId="10" fillId="0" borderId="3" xfId="0" applyFont="1" applyFill="1" applyBorder="1" applyAlignment="1" applyProtection="1">
      <alignment vertical="center" wrapText="1"/>
      <protection hidden="1"/>
    </xf>
    <xf numFmtId="0" fontId="17" fillId="0" borderId="89" xfId="0" applyFont="1" applyFill="1" applyBorder="1" applyAlignment="1" applyProtection="1">
      <alignment vertical="center" wrapText="1"/>
      <protection hidden="1"/>
    </xf>
    <xf numFmtId="0" fontId="17" fillId="0" borderId="3" xfId="0" applyFont="1" applyFill="1" applyBorder="1" applyAlignment="1" applyProtection="1">
      <alignment vertical="center" wrapText="1"/>
      <protection hidden="1"/>
    </xf>
    <xf numFmtId="0" fontId="10" fillId="0" borderId="74" xfId="0" applyFont="1" applyFill="1" applyBorder="1" applyAlignment="1" applyProtection="1">
      <alignment vertical="center" wrapText="1"/>
      <protection hidden="1"/>
    </xf>
    <xf numFmtId="0" fontId="70" fillId="0" borderId="80" xfId="0" applyFont="1" applyFill="1" applyBorder="1" applyAlignment="1" applyProtection="1">
      <alignment horizontal="left" vertical="center" wrapText="1"/>
      <protection hidden="1"/>
    </xf>
    <xf numFmtId="0" fontId="30" fillId="5" borderId="49" xfId="0" applyFont="1" applyFill="1" applyBorder="1" applyAlignment="1" applyProtection="1">
      <alignment horizontal="center" vertical="center" wrapText="1"/>
      <protection hidden="1"/>
    </xf>
    <xf numFmtId="0" fontId="10" fillId="0" borderId="4" xfId="0" applyFont="1" applyFill="1" applyBorder="1" applyAlignment="1" applyProtection="1">
      <alignment vertical="center" wrapText="1"/>
      <protection hidden="1"/>
    </xf>
    <xf numFmtId="0" fontId="0" fillId="0" borderId="77" xfId="0" applyBorder="1" applyAlignment="1" applyProtection="1">
      <alignment horizontal="center" vertical="center"/>
      <protection hidden="1"/>
    </xf>
    <xf numFmtId="0" fontId="0" fillId="0" borderId="72" xfId="0" applyBorder="1" applyAlignment="1" applyProtection="1">
      <alignment horizontal="center" vertical="center"/>
      <protection hidden="1"/>
    </xf>
    <xf numFmtId="0" fontId="0" fillId="0" borderId="78" xfId="0" applyBorder="1" applyAlignment="1" applyProtection="1">
      <alignment horizontal="center" vertical="center"/>
      <protection hidden="1"/>
    </xf>
    <xf numFmtId="0" fontId="17" fillId="0" borderId="105" xfId="0" applyFont="1" applyFill="1" applyBorder="1" applyAlignment="1" applyProtection="1">
      <alignment vertical="center" wrapText="1"/>
      <protection hidden="1"/>
    </xf>
    <xf numFmtId="0" fontId="17" fillId="0" borderId="46" xfId="0" applyFont="1" applyFill="1" applyBorder="1" applyAlignment="1" applyProtection="1">
      <alignment vertical="center" wrapText="1"/>
      <protection hidden="1"/>
    </xf>
    <xf numFmtId="0" fontId="5" fillId="0" borderId="0" xfId="0" applyFont="1" applyFill="1" applyBorder="1" applyAlignment="1" applyProtection="1">
      <alignment vertical="center"/>
      <protection hidden="1"/>
    </xf>
    <xf numFmtId="0" fontId="12"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protection hidden="1"/>
    </xf>
    <xf numFmtId="0" fontId="61" fillId="0" borderId="0" xfId="0" applyFont="1" applyFill="1" applyBorder="1" applyAlignment="1" applyProtection="1">
      <alignment vertical="center"/>
      <protection hidden="1"/>
    </xf>
    <xf numFmtId="0" fontId="58" fillId="0" borderId="0" xfId="0" applyFont="1" applyFill="1" applyAlignment="1" applyProtection="1">
      <alignment vertical="center"/>
      <protection hidden="1"/>
    </xf>
    <xf numFmtId="0" fontId="58" fillId="0" borderId="0" xfId="0" applyFont="1" applyFill="1" applyAlignment="1" applyProtection="1">
      <alignment horizontal="right" vertical="center"/>
      <protection hidden="1"/>
    </xf>
    <xf numFmtId="0" fontId="61" fillId="0" borderId="0" xfId="0" applyFont="1" applyFill="1" applyAlignment="1" applyProtection="1">
      <alignment vertical="center"/>
      <protection hidden="1"/>
    </xf>
    <xf numFmtId="0" fontId="53" fillId="0" borderId="0" xfId="0" applyFont="1" applyFill="1" applyAlignment="1" applyProtection="1">
      <alignment horizontal="right" vertical="center"/>
      <protection hidden="1"/>
    </xf>
    <xf numFmtId="0" fontId="14"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64" fillId="0" borderId="0" xfId="0" applyFont="1" applyFill="1" applyBorder="1" applyAlignment="1" applyProtection="1">
      <alignment vertical="center"/>
      <protection hidden="1"/>
    </xf>
    <xf numFmtId="0" fontId="12" fillId="0" borderId="0" xfId="0" applyFont="1" applyFill="1" applyBorder="1" applyAlignment="1" applyProtection="1">
      <alignment horizontal="left"/>
      <protection hidden="1"/>
    </xf>
    <xf numFmtId="0" fontId="30" fillId="0" borderId="0" xfId="0" applyFont="1" applyFill="1" applyBorder="1" applyAlignment="1" applyProtection="1">
      <alignment horizontal="center" vertical="center" wrapText="1"/>
      <protection hidden="1"/>
    </xf>
    <xf numFmtId="0" fontId="30"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vertical="center"/>
      <protection hidden="1"/>
    </xf>
    <xf numFmtId="0" fontId="2" fillId="0" borderId="0" xfId="0" applyFont="1" applyFill="1" applyBorder="1" applyAlignment="1" applyProtection="1">
      <alignment vertical="center"/>
      <protection hidden="1"/>
    </xf>
    <xf numFmtId="0" fontId="99" fillId="0" borderId="0" xfId="0" applyFont="1" applyFill="1" applyAlignment="1" applyProtection="1">
      <alignment vertical="center"/>
      <protection hidden="1"/>
    </xf>
    <xf numFmtId="0" fontId="16" fillId="0" borderId="0" xfId="0" applyFont="1" applyFill="1" applyBorder="1" applyAlignment="1" applyProtection="1">
      <alignment horizontal="left" vertical="center"/>
      <protection hidden="1"/>
    </xf>
    <xf numFmtId="0" fontId="99" fillId="0" borderId="0" xfId="0" applyFont="1" applyFill="1" applyBorder="1" applyAlignment="1" applyProtection="1">
      <alignment vertical="center"/>
      <protection hidden="1"/>
    </xf>
    <xf numFmtId="0" fontId="104" fillId="0" borderId="0" xfId="0" applyFont="1" applyFill="1" applyBorder="1" applyAlignment="1" applyProtection="1">
      <alignment horizontal="left" vertical="center"/>
      <protection hidden="1"/>
    </xf>
    <xf numFmtId="0" fontId="124" fillId="0" borderId="0" xfId="0" applyFont="1" applyFill="1" applyAlignment="1" applyProtection="1">
      <alignment vertical="center"/>
      <protection hidden="1"/>
    </xf>
    <xf numFmtId="0" fontId="128" fillId="0" borderId="0" xfId="0" applyFont="1" applyFill="1" applyBorder="1" applyAlignment="1" applyProtection="1">
      <alignment vertical="center" wrapText="1"/>
      <protection hidden="1"/>
    </xf>
    <xf numFmtId="0" fontId="111" fillId="0" borderId="0" xfId="0" applyFont="1" applyFill="1" applyBorder="1" applyAlignment="1" applyProtection="1">
      <alignment vertical="center"/>
      <protection hidden="1"/>
    </xf>
    <xf numFmtId="0" fontId="110" fillId="0" borderId="0" xfId="0" applyFont="1" applyFill="1" applyBorder="1" applyAlignment="1" applyProtection="1">
      <alignment horizontal="left" vertical="center"/>
      <protection hidden="1"/>
    </xf>
    <xf numFmtId="0" fontId="40" fillId="0" borderId="0" xfId="0" applyFont="1" applyFill="1" applyBorder="1" applyAlignment="1" applyProtection="1">
      <alignment horizontal="left" vertical="center"/>
      <protection hidden="1"/>
    </xf>
    <xf numFmtId="0" fontId="90" fillId="7" borderId="163" xfId="0" applyFont="1" applyFill="1" applyBorder="1" applyAlignment="1" applyProtection="1">
      <alignment horizontal="center" wrapText="1"/>
      <protection hidden="1"/>
    </xf>
    <xf numFmtId="0" fontId="122" fillId="0" borderId="0" xfId="0" applyFont="1" applyFill="1" applyBorder="1" applyAlignment="1" applyProtection="1">
      <alignment horizontal="left" vertical="center"/>
      <protection hidden="1"/>
    </xf>
    <xf numFmtId="0" fontId="111" fillId="0" borderId="0" xfId="0" applyFont="1" applyFill="1" applyBorder="1" applyAlignment="1" applyProtection="1">
      <alignment horizontal="left" vertical="center"/>
      <protection hidden="1"/>
    </xf>
    <xf numFmtId="0" fontId="122" fillId="0" borderId="0" xfId="0" applyFont="1" applyFill="1" applyAlignment="1" applyProtection="1">
      <alignment vertical="center"/>
      <protection hidden="1"/>
    </xf>
    <xf numFmtId="0" fontId="40" fillId="0" borderId="0" xfId="0" applyFont="1" applyFill="1" applyAlignment="1" applyProtection="1">
      <alignment vertical="center"/>
      <protection hidden="1"/>
    </xf>
    <xf numFmtId="0" fontId="17" fillId="0" borderId="0" xfId="0" applyFont="1" applyFill="1" applyAlignment="1" applyProtection="1">
      <alignment vertical="center"/>
      <protection hidden="1"/>
    </xf>
    <xf numFmtId="0" fontId="4" fillId="0" borderId="0" xfId="0" applyFont="1" applyFill="1" applyBorder="1" applyAlignment="1" applyProtection="1">
      <alignment horizontal="right" vertical="center"/>
      <protection hidden="1"/>
    </xf>
    <xf numFmtId="0" fontId="40" fillId="0" borderId="0" xfId="0" applyFont="1" applyFill="1" applyBorder="1" applyAlignment="1" applyProtection="1">
      <alignment vertical="center"/>
      <protection hidden="1"/>
    </xf>
    <xf numFmtId="0" fontId="109" fillId="0" borderId="0" xfId="0" applyFont="1" applyFill="1" applyBorder="1" applyAlignment="1" applyProtection="1">
      <alignment horizontal="right" vertical="center"/>
      <protection hidden="1"/>
    </xf>
    <xf numFmtId="49" fontId="40" fillId="0" borderId="0" xfId="0" applyNumberFormat="1" applyFont="1" applyFill="1" applyBorder="1" applyAlignment="1" applyProtection="1">
      <alignment vertical="center"/>
      <protection hidden="1"/>
    </xf>
    <xf numFmtId="0" fontId="40" fillId="0" borderId="0" xfId="0" applyNumberFormat="1" applyFont="1" applyFill="1" applyBorder="1" applyAlignment="1" applyProtection="1">
      <alignment vertical="center"/>
      <protection hidden="1"/>
    </xf>
    <xf numFmtId="0" fontId="4" fillId="0" borderId="0" xfId="0" applyFont="1" applyFill="1" applyBorder="1" applyAlignment="1" applyProtection="1">
      <protection hidden="1"/>
    </xf>
    <xf numFmtId="0" fontId="119" fillId="0" borderId="0" xfId="0" applyFont="1" applyFill="1" applyBorder="1" applyAlignment="1" applyProtection="1">
      <protection hidden="1"/>
    </xf>
    <xf numFmtId="0" fontId="99" fillId="0" borderId="154" xfId="0" applyFont="1" applyFill="1" applyBorder="1" applyAlignment="1" applyProtection="1">
      <alignment vertical="center"/>
      <protection hidden="1"/>
    </xf>
    <xf numFmtId="0" fontId="17" fillId="0" borderId="154" xfId="0" applyFont="1" applyFill="1" applyBorder="1" applyAlignment="1" applyProtection="1">
      <alignment vertical="center"/>
      <protection hidden="1"/>
    </xf>
    <xf numFmtId="0" fontId="40" fillId="0" borderId="154" xfId="0" applyFont="1" applyFill="1" applyBorder="1" applyAlignment="1" applyProtection="1">
      <alignment vertical="center"/>
      <protection hidden="1"/>
    </xf>
    <xf numFmtId="0" fontId="99" fillId="7" borderId="0" xfId="0" applyFont="1" applyFill="1" applyAlignment="1" applyProtection="1">
      <alignment vertical="center"/>
      <protection hidden="1"/>
    </xf>
    <xf numFmtId="0" fontId="103" fillId="0" borderId="0" xfId="0" applyFont="1" applyFill="1" applyBorder="1" applyAlignment="1" applyProtection="1">
      <alignment vertical="center"/>
      <protection hidden="1"/>
    </xf>
    <xf numFmtId="0" fontId="99" fillId="7" borderId="24" xfId="0" applyFont="1" applyFill="1" applyBorder="1" applyAlignment="1" applyProtection="1">
      <alignment vertical="center"/>
      <protection hidden="1"/>
    </xf>
    <xf numFmtId="0" fontId="9" fillId="0" borderId="0" xfId="0" applyFont="1" applyFill="1" applyBorder="1" applyAlignment="1" applyProtection="1">
      <alignment horizontal="center" vertical="center"/>
      <protection hidden="1"/>
    </xf>
    <xf numFmtId="0" fontId="103" fillId="0" borderId="0" xfId="0" applyFont="1" applyFill="1" applyBorder="1" applyAlignment="1" applyProtection="1">
      <alignment horizontal="center" vertical="center"/>
      <protection hidden="1"/>
    </xf>
    <xf numFmtId="0" fontId="36" fillId="0" borderId="0" xfId="0" applyFont="1" applyFill="1" applyBorder="1" applyAlignment="1" applyProtection="1">
      <alignment vertical="center"/>
      <protection hidden="1"/>
    </xf>
    <xf numFmtId="0" fontId="103" fillId="0" borderId="0" xfId="0" applyFont="1" applyFill="1" applyBorder="1" applyAlignment="1" applyProtection="1">
      <alignment horizontal="right" vertical="center"/>
      <protection hidden="1"/>
    </xf>
    <xf numFmtId="0" fontId="51" fillId="0" borderId="0" xfId="0" applyFont="1" applyFill="1" applyAlignment="1" applyProtection="1">
      <alignment horizontal="left" vertical="center"/>
      <protection hidden="1"/>
    </xf>
    <xf numFmtId="0" fontId="131" fillId="0" borderId="0" xfId="0" applyFont="1" applyFill="1" applyBorder="1" applyAlignment="1" applyProtection="1">
      <alignment vertical="center"/>
      <protection hidden="1"/>
    </xf>
    <xf numFmtId="0" fontId="39" fillId="0" borderId="0" xfId="0" applyFont="1" applyFill="1" applyBorder="1" applyAlignment="1" applyProtection="1">
      <alignment horizontal="center"/>
      <protection hidden="1"/>
    </xf>
    <xf numFmtId="0" fontId="3" fillId="0" borderId="0" xfId="0" applyNumberFormat="1" applyFont="1" applyFill="1" applyBorder="1" applyAlignment="1" applyProtection="1">
      <alignment horizontal="center"/>
      <protection hidden="1"/>
    </xf>
    <xf numFmtId="0" fontId="41" fillId="0" borderId="0" xfId="0" applyNumberFormat="1" applyFont="1" applyFill="1" applyBorder="1" applyAlignment="1" applyProtection="1">
      <alignment horizontal="center" vertical="center"/>
      <protection hidden="1"/>
    </xf>
    <xf numFmtId="0" fontId="3" fillId="0" borderId="0" xfId="0" applyNumberFormat="1" applyFont="1" applyFill="1" applyBorder="1" applyAlignment="1" applyProtection="1">
      <protection hidden="1"/>
    </xf>
    <xf numFmtId="0" fontId="10" fillId="0" borderId="0" xfId="0" applyFont="1" applyFill="1" applyBorder="1" applyAlignment="1" applyProtection="1">
      <alignment horizontal="left"/>
      <protection hidden="1"/>
    </xf>
    <xf numFmtId="0" fontId="46" fillId="0" borderId="0" xfId="0" applyNumberFormat="1" applyFont="1" applyFill="1" applyBorder="1" applyAlignment="1" applyProtection="1">
      <alignment horizontal="center" vertical="center"/>
      <protection hidden="1"/>
    </xf>
    <xf numFmtId="0" fontId="3" fillId="0" borderId="0" xfId="0" applyNumberFormat="1" applyFont="1" applyFill="1" applyBorder="1" applyAlignment="1" applyProtection="1">
      <alignment horizontal="right"/>
      <protection hidden="1"/>
    </xf>
    <xf numFmtId="0" fontId="41" fillId="0" borderId="0" xfId="0" applyNumberFormat="1" applyFont="1" applyFill="1" applyBorder="1" applyAlignment="1" applyProtection="1">
      <alignment horizontal="left" vertical="center"/>
      <protection hidden="1"/>
    </xf>
    <xf numFmtId="0" fontId="43" fillId="0" borderId="0" xfId="0" applyFont="1" applyFill="1" applyBorder="1" applyAlignment="1" applyProtection="1">
      <alignment horizontal="center" vertical="center"/>
      <protection hidden="1"/>
    </xf>
    <xf numFmtId="0" fontId="3" fillId="0" borderId="0" xfId="0" applyNumberFormat="1" applyFont="1" applyFill="1" applyBorder="1" applyAlignment="1" applyProtection="1">
      <alignment horizontal="center" vertical="center"/>
      <protection hidden="1"/>
    </xf>
    <xf numFmtId="0" fontId="46" fillId="0" borderId="0" xfId="0" applyNumberFormat="1" applyFont="1" applyFill="1" applyBorder="1" applyAlignment="1" applyProtection="1">
      <alignment horizontal="left" vertical="center"/>
      <protection hidden="1"/>
    </xf>
    <xf numFmtId="0" fontId="41" fillId="0" borderId="0" xfId="0" applyFont="1" applyFill="1" applyBorder="1" applyAlignment="1" applyProtection="1">
      <alignment vertical="center"/>
      <protection hidden="1"/>
    </xf>
    <xf numFmtId="0" fontId="46" fillId="0" borderId="0" xfId="0" applyFont="1" applyFill="1" applyBorder="1" applyAlignment="1" applyProtection="1">
      <alignment horizontal="left" vertical="center"/>
      <protection hidden="1"/>
    </xf>
    <xf numFmtId="0" fontId="43" fillId="0" borderId="0" xfId="0" applyFont="1" applyFill="1" applyBorder="1" applyAlignment="1" applyProtection="1">
      <alignment vertical="center" wrapText="1"/>
      <protection hidden="1"/>
    </xf>
    <xf numFmtId="0" fontId="2" fillId="0" borderId="0" xfId="0" applyFont="1" applyBorder="1" applyAlignment="1" applyProtection="1">
      <alignment horizontal="center" vertical="center"/>
      <protection hidden="1"/>
    </xf>
    <xf numFmtId="0" fontId="2" fillId="0" borderId="18" xfId="0" applyFont="1" applyBorder="1" applyAlignment="1" applyProtection="1">
      <alignment horizontal="center" vertical="center"/>
      <protection hidden="1"/>
    </xf>
    <xf numFmtId="0" fontId="89" fillId="0" borderId="72" xfId="1" applyFont="1" applyBorder="1" applyAlignment="1" applyProtection="1">
      <alignment horizontal="center" vertical="center"/>
      <protection hidden="1"/>
    </xf>
    <xf numFmtId="0" fontId="6" fillId="0" borderId="0" xfId="0" applyFont="1" applyBorder="1" applyAlignment="1" applyProtection="1">
      <alignment horizontal="center" vertical="center" wrapText="1"/>
      <protection hidden="1"/>
    </xf>
    <xf numFmtId="0" fontId="10" fillId="0" borderId="93" xfId="0" applyFont="1" applyBorder="1" applyAlignment="1" applyProtection="1">
      <alignment horizontal="center" vertical="center"/>
      <protection hidden="1"/>
    </xf>
    <xf numFmtId="0" fontId="84" fillId="0" borderId="106" xfId="0" applyFont="1" applyBorder="1" applyAlignment="1" applyProtection="1">
      <alignment horizontal="center" vertical="center"/>
      <protection hidden="1"/>
    </xf>
    <xf numFmtId="0" fontId="85" fillId="9" borderId="107" xfId="0" applyFont="1" applyFill="1" applyBorder="1" applyAlignment="1" applyProtection="1">
      <alignment horizontal="center" vertical="center"/>
      <protection hidden="1"/>
    </xf>
    <xf numFmtId="0" fontId="84" fillId="0" borderId="107" xfId="0" applyFont="1" applyBorder="1" applyAlignment="1" applyProtection="1">
      <alignment horizontal="center" vertical="center"/>
      <protection hidden="1"/>
    </xf>
    <xf numFmtId="0" fontId="84" fillId="0" borderId="108" xfId="0" applyFont="1" applyBorder="1" applyAlignment="1" applyProtection="1">
      <alignment horizontal="center" vertical="center"/>
      <protection hidden="1"/>
    </xf>
    <xf numFmtId="0" fontId="6" fillId="0" borderId="46" xfId="0" applyNumberFormat="1" applyFont="1" applyBorder="1" applyAlignment="1" applyProtection="1">
      <alignment horizontal="right" vertical="center"/>
      <protection hidden="1"/>
    </xf>
    <xf numFmtId="0" fontId="6" fillId="0" borderId="61" xfId="0" applyNumberFormat="1" applyFont="1" applyBorder="1" applyAlignment="1" applyProtection="1">
      <alignment horizontal="right" vertical="center"/>
      <protection hidden="1"/>
    </xf>
    <xf numFmtId="0" fontId="6" fillId="0" borderId="133" xfId="0" applyNumberFormat="1" applyFont="1" applyBorder="1" applyAlignment="1" applyProtection="1">
      <alignment horizontal="right" vertical="center"/>
      <protection hidden="1"/>
    </xf>
    <xf numFmtId="0" fontId="106" fillId="0" borderId="21" xfId="0" applyFont="1" applyBorder="1" applyAlignment="1" applyProtection="1">
      <alignment horizontal="left" vertical="center"/>
      <protection hidden="1"/>
    </xf>
    <xf numFmtId="0" fontId="106" fillId="0" borderId="3" xfId="0" applyFont="1" applyBorder="1" applyAlignment="1" applyProtection="1">
      <alignment horizontal="right" vertical="center"/>
      <protection hidden="1"/>
    </xf>
    <xf numFmtId="0" fontId="106" fillId="0" borderId="4" xfId="0" applyFont="1" applyBorder="1" applyAlignment="1" applyProtection="1">
      <alignment horizontal="left" vertical="center"/>
      <protection hidden="1"/>
    </xf>
    <xf numFmtId="0" fontId="106" fillId="0" borderId="10" xfId="0" applyFont="1" applyBorder="1" applyAlignment="1" applyProtection="1">
      <alignment horizontal="right" vertical="center"/>
      <protection hidden="1"/>
    </xf>
    <xf numFmtId="0" fontId="106" fillId="0" borderId="5" xfId="0" applyFont="1" applyBorder="1" applyAlignment="1" applyProtection="1">
      <alignment horizontal="center" vertical="center"/>
      <protection hidden="1"/>
    </xf>
    <xf numFmtId="0" fontId="106" fillId="0" borderId="13" xfId="0" applyFont="1" applyBorder="1" applyAlignment="1" applyProtection="1">
      <alignment horizontal="left" vertical="center"/>
      <protection hidden="1"/>
    </xf>
    <xf numFmtId="0" fontId="10" fillId="0" borderId="61" xfId="0" applyFont="1" applyBorder="1" applyAlignment="1" applyProtection="1">
      <alignment vertical="center"/>
      <protection hidden="1"/>
    </xf>
    <xf numFmtId="0" fontId="106" fillId="0" borderId="12" xfId="0" applyFont="1" applyBorder="1" applyAlignment="1" applyProtection="1">
      <alignment horizontal="left" vertical="center"/>
      <protection hidden="1"/>
    </xf>
    <xf numFmtId="0" fontId="106" fillId="0" borderId="5" xfId="0" applyFont="1" applyBorder="1" applyAlignment="1" applyProtection="1">
      <alignment horizontal="right" vertical="center"/>
      <protection hidden="1"/>
    </xf>
    <xf numFmtId="0" fontId="106" fillId="0" borderId="5" xfId="0" applyFont="1" applyBorder="1" applyAlignment="1" applyProtection="1">
      <alignment horizontal="left" vertical="center"/>
      <protection hidden="1"/>
    </xf>
    <xf numFmtId="0" fontId="106" fillId="0" borderId="9" xfId="0" applyFont="1" applyBorder="1" applyAlignment="1" applyProtection="1">
      <alignment horizontal="right" vertical="center"/>
      <protection hidden="1"/>
    </xf>
    <xf numFmtId="0" fontId="106" fillId="0" borderId="8" xfId="0" applyFont="1" applyBorder="1" applyAlignment="1" applyProtection="1">
      <alignment horizontal="right" vertical="center"/>
      <protection hidden="1"/>
    </xf>
    <xf numFmtId="0" fontId="106" fillId="0" borderId="23" xfId="0" applyFont="1" applyBorder="1" applyAlignment="1" applyProtection="1">
      <alignment horizontal="right" vertical="center"/>
      <protection hidden="1"/>
    </xf>
    <xf numFmtId="0" fontId="106" fillId="0" borderId="9" xfId="0" applyFont="1" applyBorder="1" applyAlignment="1" applyProtection="1">
      <alignment horizontal="left" vertical="center"/>
      <protection hidden="1"/>
    </xf>
    <xf numFmtId="0" fontId="106" fillId="0" borderId="23" xfId="0" applyFont="1" applyBorder="1" applyAlignment="1" applyProtection="1">
      <alignment horizontal="left" vertical="center"/>
      <protection hidden="1"/>
    </xf>
    <xf numFmtId="0" fontId="0" fillId="0" borderId="0" xfId="0" applyProtection="1">
      <protection hidden="1"/>
    </xf>
    <xf numFmtId="0" fontId="6" fillId="0" borderId="144" xfId="0" applyNumberFormat="1" applyFont="1" applyBorder="1" applyAlignment="1" applyProtection="1">
      <alignment horizontal="center" vertical="center" wrapText="1"/>
      <protection hidden="1"/>
    </xf>
    <xf numFmtId="0" fontId="6" fillId="0" borderId="151" xfId="0" applyNumberFormat="1" applyFont="1" applyBorder="1" applyAlignment="1" applyProtection="1">
      <alignment horizontal="center" vertical="center" wrapText="1"/>
      <protection hidden="1"/>
    </xf>
    <xf numFmtId="0" fontId="6" fillId="0" borderId="12" xfId="0" applyNumberFormat="1" applyFont="1" applyBorder="1" applyAlignment="1" applyProtection="1">
      <alignment horizontal="center" vertical="center" wrapText="1"/>
      <protection hidden="1"/>
    </xf>
    <xf numFmtId="0" fontId="6" fillId="0" borderId="30" xfId="0" applyNumberFormat="1" applyFont="1" applyBorder="1" applyAlignment="1" applyProtection="1">
      <alignment horizontal="center" vertical="center" wrapText="1"/>
      <protection hidden="1"/>
    </xf>
    <xf numFmtId="0" fontId="6" fillId="0" borderId="107" xfId="0" applyNumberFormat="1" applyFont="1" applyBorder="1" applyAlignment="1" applyProtection="1">
      <alignment horizontal="center" vertical="center" wrapText="1"/>
      <protection hidden="1"/>
    </xf>
    <xf numFmtId="0" fontId="6" fillId="0" borderId="81" xfId="0" applyNumberFormat="1" applyFont="1" applyBorder="1" applyAlignment="1" applyProtection="1">
      <alignment horizontal="center" vertical="center" wrapText="1"/>
      <protection hidden="1"/>
    </xf>
    <xf numFmtId="0" fontId="6" fillId="0" borderId="82" xfId="0" applyNumberFormat="1" applyFont="1" applyBorder="1" applyAlignment="1" applyProtection="1">
      <alignment horizontal="center" vertical="center" wrapText="1"/>
      <protection hidden="1"/>
    </xf>
    <xf numFmtId="0" fontId="6" fillId="0" borderId="104" xfId="0" applyNumberFormat="1" applyFont="1" applyBorder="1" applyAlignment="1" applyProtection="1">
      <alignment horizontal="center" vertical="center" wrapText="1"/>
      <protection hidden="1"/>
    </xf>
    <xf numFmtId="0" fontId="6" fillId="0" borderId="11" xfId="0" applyNumberFormat="1" applyFont="1" applyBorder="1" applyAlignment="1" applyProtection="1">
      <alignment horizontal="center" vertical="center"/>
      <protection hidden="1"/>
    </xf>
    <xf numFmtId="0" fontId="6" fillId="0" borderId="104" xfId="0" applyNumberFormat="1" applyFont="1" applyBorder="1" applyAlignment="1" applyProtection="1">
      <alignment horizontal="center" vertical="center"/>
      <protection hidden="1"/>
    </xf>
    <xf numFmtId="0" fontId="6" fillId="0" borderId="109" xfId="0" applyNumberFormat="1" applyFont="1" applyBorder="1" applyAlignment="1" applyProtection="1">
      <alignment horizontal="center" vertical="center"/>
      <protection hidden="1"/>
    </xf>
    <xf numFmtId="0" fontId="117" fillId="0" borderId="0" xfId="0" applyFont="1" applyFill="1" applyBorder="1" applyAlignment="1" applyProtection="1">
      <alignment horizontal="center" vertical="center"/>
      <protection hidden="1"/>
    </xf>
    <xf numFmtId="0" fontId="106" fillId="0" borderId="0" xfId="0" applyFont="1" applyFill="1" applyBorder="1" applyAlignment="1" applyProtection="1">
      <alignment horizontal="center" vertical="center"/>
      <protection hidden="1"/>
    </xf>
    <xf numFmtId="0" fontId="106" fillId="0" borderId="0" xfId="0" applyFont="1" applyFill="1" applyBorder="1" applyAlignment="1" applyProtection="1">
      <alignment horizontal="right" vertical="center"/>
      <protection hidden="1"/>
    </xf>
    <xf numFmtId="0" fontId="13" fillId="0" borderId="0" xfId="0" applyFont="1" applyFill="1" applyBorder="1" applyProtection="1">
      <protection hidden="1"/>
    </xf>
    <xf numFmtId="0" fontId="106" fillId="0" borderId="0" xfId="0" applyFont="1" applyFill="1" applyBorder="1" applyAlignment="1" applyProtection="1">
      <alignment vertical="center"/>
      <protection hidden="1"/>
    </xf>
    <xf numFmtId="0" fontId="113" fillId="0" borderId="0" xfId="0" applyFont="1" applyFill="1" applyBorder="1" applyAlignment="1" applyProtection="1">
      <alignment vertical="center"/>
      <protection hidden="1"/>
    </xf>
    <xf numFmtId="0" fontId="114" fillId="0" borderId="0" xfId="0" applyFont="1" applyFill="1" applyBorder="1" applyAlignment="1" applyProtection="1">
      <alignment vertical="center"/>
      <protection hidden="1"/>
    </xf>
    <xf numFmtId="0" fontId="13" fillId="0" borderId="0" xfId="0" applyFont="1" applyFill="1" applyBorder="1" applyAlignment="1" applyProtection="1">
      <alignment vertical="center"/>
      <protection hidden="1"/>
    </xf>
    <xf numFmtId="0" fontId="106" fillId="0" borderId="0" xfId="0" applyFont="1" applyFill="1" applyBorder="1" applyAlignment="1" applyProtection="1">
      <alignment horizontal="left" vertical="center"/>
      <protection hidden="1"/>
    </xf>
    <xf numFmtId="0" fontId="13" fillId="0" borderId="3" xfId="0" applyFont="1" applyBorder="1" applyProtection="1">
      <protection hidden="1"/>
    </xf>
    <xf numFmtId="0" fontId="106" fillId="0" borderId="3" xfId="0" applyFont="1" applyBorder="1" applyAlignment="1" applyProtection="1">
      <alignment vertical="center"/>
      <protection hidden="1"/>
    </xf>
    <xf numFmtId="0" fontId="106" fillId="0" borderId="10" xfId="0" applyFont="1" applyBorder="1" applyAlignment="1" applyProtection="1">
      <alignment horizontal="center" vertical="center"/>
      <protection hidden="1"/>
    </xf>
    <xf numFmtId="0" fontId="113" fillId="0" borderId="5" xfId="0" applyFont="1" applyBorder="1" applyAlignment="1" applyProtection="1">
      <alignment vertical="center"/>
      <protection hidden="1"/>
    </xf>
    <xf numFmtId="0" fontId="13" fillId="0" borderId="61" xfId="0" applyFont="1" applyBorder="1" applyAlignment="1" applyProtection="1">
      <alignment vertical="center"/>
      <protection hidden="1"/>
    </xf>
    <xf numFmtId="0" fontId="106" fillId="0" borderId="16" xfId="0" applyFont="1" applyBorder="1" applyAlignment="1" applyProtection="1">
      <alignment horizontal="center" vertical="center"/>
      <protection hidden="1"/>
    </xf>
    <xf numFmtId="0" fontId="13" fillId="0" borderId="5" xfId="0" applyFont="1" applyBorder="1" applyProtection="1">
      <protection hidden="1"/>
    </xf>
    <xf numFmtId="0" fontId="106" fillId="0" borderId="100" xfId="0" applyFont="1" applyBorder="1" applyAlignment="1" applyProtection="1">
      <alignment horizontal="right" vertical="center"/>
      <protection hidden="1"/>
    </xf>
    <xf numFmtId="0" fontId="106" fillId="0" borderId="74" xfId="0" applyFont="1" applyBorder="1" applyAlignment="1" applyProtection="1">
      <alignment horizontal="right" vertical="center"/>
      <protection hidden="1"/>
    </xf>
    <xf numFmtId="0" fontId="106" fillId="0" borderId="74" xfId="0" applyFont="1" applyBorder="1" applyAlignment="1" applyProtection="1">
      <alignment horizontal="center" vertical="center"/>
      <protection hidden="1"/>
    </xf>
    <xf numFmtId="0" fontId="114" fillId="0" borderId="74" xfId="0" applyFont="1" applyBorder="1" applyAlignment="1" applyProtection="1">
      <alignment vertical="center"/>
      <protection hidden="1"/>
    </xf>
    <xf numFmtId="0" fontId="106" fillId="0" borderId="60" xfId="0" applyFont="1" applyBorder="1" applyAlignment="1" applyProtection="1">
      <alignment horizontal="left" vertical="center"/>
      <protection hidden="1"/>
    </xf>
    <xf numFmtId="0" fontId="106" fillId="0" borderId="74" xfId="0" applyFont="1" applyBorder="1" applyAlignment="1" applyProtection="1">
      <alignment vertical="center"/>
      <protection hidden="1"/>
    </xf>
    <xf numFmtId="0" fontId="106" fillId="0" borderId="75" xfId="0" applyFont="1" applyBorder="1" applyAlignment="1" applyProtection="1">
      <alignment horizontal="left" vertical="center"/>
      <protection hidden="1"/>
    </xf>
    <xf numFmtId="0" fontId="106" fillId="0" borderId="0" xfId="0" applyFont="1" applyBorder="1" applyAlignment="1" applyProtection="1">
      <alignment horizontal="right" vertical="center"/>
      <protection hidden="1"/>
    </xf>
    <xf numFmtId="0" fontId="106" fillId="0" borderId="0" xfId="0" applyFont="1" applyBorder="1" applyAlignment="1" applyProtection="1">
      <alignment horizontal="left" vertical="center"/>
      <protection hidden="1"/>
    </xf>
    <xf numFmtId="0" fontId="106" fillId="0" borderId="0" xfId="0" applyFont="1" applyBorder="1" applyAlignment="1" applyProtection="1">
      <alignment vertical="center"/>
      <protection hidden="1"/>
    </xf>
    <xf numFmtId="0" fontId="2" fillId="0" borderId="0" xfId="0" applyFont="1" applyFill="1" applyBorder="1" applyAlignment="1" applyProtection="1">
      <alignment vertical="center" wrapText="1"/>
      <protection hidden="1"/>
    </xf>
    <xf numFmtId="0" fontId="13" fillId="0" borderId="0" xfId="0" applyFont="1" applyFill="1" applyBorder="1" applyAlignment="1" applyProtection="1">
      <alignment horizontal="center" vertical="center" wrapText="1"/>
      <protection hidden="1"/>
    </xf>
    <xf numFmtId="0" fontId="108" fillId="0" borderId="0" xfId="0" applyFont="1" applyProtection="1">
      <protection hidden="1"/>
    </xf>
    <xf numFmtId="0" fontId="3" fillId="0" borderId="16" xfId="0" applyFont="1" applyBorder="1" applyProtection="1">
      <protection hidden="1"/>
    </xf>
    <xf numFmtId="0" fontId="55" fillId="0" borderId="0" xfId="1" applyFont="1" applyFill="1" applyBorder="1" applyAlignment="1" applyProtection="1">
      <alignment horizontal="center" vertical="center"/>
      <protection hidden="1"/>
    </xf>
    <xf numFmtId="0" fontId="3" fillId="0" borderId="16" xfId="0" applyFont="1" applyBorder="1" applyAlignment="1" applyProtection="1">
      <alignment horizontal="center" vertical="center"/>
      <protection hidden="1"/>
    </xf>
    <xf numFmtId="0" fontId="107" fillId="0" borderId="16" xfId="0" applyFont="1" applyBorder="1" applyAlignment="1" applyProtection="1">
      <alignment horizontal="right" vertical="center"/>
      <protection hidden="1"/>
    </xf>
    <xf numFmtId="0" fontId="105" fillId="0" borderId="16" xfId="0" applyFont="1" applyBorder="1" applyAlignment="1" applyProtection="1">
      <alignment horizontal="left" vertical="center"/>
      <protection hidden="1"/>
    </xf>
    <xf numFmtId="0" fontId="6" fillId="0" borderId="0" xfId="0" applyFont="1" applyFill="1" applyBorder="1" applyAlignment="1" applyProtection="1">
      <alignment vertical="center" wrapText="1"/>
      <protection hidden="1"/>
    </xf>
    <xf numFmtId="0" fontId="3" fillId="0" borderId="5" xfId="0" applyFont="1" applyBorder="1" applyAlignment="1" applyProtection="1">
      <alignment horizontal="center" vertical="center"/>
      <protection hidden="1"/>
    </xf>
    <xf numFmtId="0" fontId="3" fillId="0" borderId="5" xfId="0" applyFont="1" applyBorder="1" applyAlignment="1" applyProtection="1">
      <alignment vertical="center"/>
      <protection hidden="1"/>
    </xf>
    <xf numFmtId="0" fontId="107" fillId="0" borderId="5" xfId="0" applyFont="1" applyBorder="1" applyAlignment="1" applyProtection="1">
      <alignment horizontal="right" vertical="center"/>
      <protection hidden="1"/>
    </xf>
    <xf numFmtId="0" fontId="105" fillId="0" borderId="5" xfId="0" applyFont="1" applyBorder="1" applyAlignment="1" applyProtection="1">
      <alignment horizontal="left" vertical="center"/>
      <protection hidden="1"/>
    </xf>
    <xf numFmtId="0" fontId="24" fillId="0" borderId="0" xfId="0" applyFont="1" applyFill="1" applyBorder="1" applyAlignment="1" applyProtection="1">
      <alignment horizontal="left" vertical="center" wrapText="1"/>
      <protection hidden="1"/>
    </xf>
    <xf numFmtId="0" fontId="3" fillId="0" borderId="125" xfId="0" applyFont="1" applyBorder="1" applyAlignment="1" applyProtection="1">
      <alignment vertical="center"/>
      <protection hidden="1"/>
    </xf>
    <xf numFmtId="0" fontId="105" fillId="0" borderId="5" xfId="0" applyFont="1" applyBorder="1" applyAlignment="1" applyProtection="1">
      <alignment vertical="center"/>
      <protection hidden="1"/>
    </xf>
    <xf numFmtId="0" fontId="3" fillId="0" borderId="16" xfId="0" applyFont="1" applyBorder="1" applyAlignment="1" applyProtection="1">
      <alignment vertical="center"/>
      <protection hidden="1"/>
    </xf>
    <xf numFmtId="0" fontId="10" fillId="0" borderId="0" xfId="0" applyFont="1" applyFill="1" applyBorder="1" applyAlignment="1" applyProtection="1">
      <alignment horizontal="left" vertical="center" wrapText="1"/>
      <protection hidden="1"/>
    </xf>
    <xf numFmtId="0" fontId="104" fillId="0" borderId="4" xfId="0" applyFont="1" applyFill="1" applyBorder="1" applyAlignment="1" applyProtection="1">
      <alignment horizontal="left" vertical="center" wrapText="1"/>
      <protection locked="0"/>
    </xf>
    <xf numFmtId="0" fontId="104" fillId="0" borderId="18" xfId="0" applyFont="1" applyFill="1" applyBorder="1" applyAlignment="1" applyProtection="1">
      <alignment horizontal="left" vertical="center" wrapText="1"/>
      <protection locked="0"/>
    </xf>
    <xf numFmtId="0" fontId="104" fillId="0" borderId="13" xfId="0" applyFont="1" applyBorder="1" applyAlignment="1" applyProtection="1">
      <alignment horizontal="left" vertical="center"/>
      <protection locked="0"/>
    </xf>
    <xf numFmtId="0" fontId="104" fillId="0" borderId="121" xfId="0" applyFont="1" applyBorder="1" applyAlignment="1" applyProtection="1">
      <alignment horizontal="center" vertical="center"/>
      <protection locked="0"/>
    </xf>
    <xf numFmtId="0" fontId="104" fillId="0" borderId="31" xfId="0" applyFont="1" applyBorder="1" applyAlignment="1" applyProtection="1">
      <alignment horizontal="center" vertical="center"/>
      <protection locked="0"/>
    </xf>
    <xf numFmtId="0" fontId="104" fillId="0" borderId="103" xfId="0" applyFont="1" applyBorder="1" applyAlignment="1" applyProtection="1">
      <alignment horizontal="center" vertical="center"/>
      <protection locked="0"/>
    </xf>
    <xf numFmtId="0" fontId="104" fillId="0" borderId="63" xfId="0" applyFont="1" applyBorder="1" applyAlignment="1" applyProtection="1">
      <alignment horizontal="center" vertical="center"/>
      <protection locked="0"/>
    </xf>
    <xf numFmtId="0" fontId="104" fillId="0" borderId="26" xfId="0" applyFont="1" applyBorder="1" applyAlignment="1" applyProtection="1">
      <alignment horizontal="center" vertical="center"/>
      <protection locked="0"/>
    </xf>
    <xf numFmtId="0" fontId="104" fillId="0" borderId="124" xfId="0" applyFont="1" applyBorder="1" applyAlignment="1" applyProtection="1">
      <alignment horizontal="center" vertical="center"/>
      <protection locked="0"/>
    </xf>
    <xf numFmtId="0" fontId="104" fillId="0" borderId="126" xfId="0" applyFont="1" applyFill="1" applyBorder="1" applyAlignment="1" applyProtection="1">
      <alignment horizontal="left" vertical="center"/>
      <protection locked="0"/>
    </xf>
    <xf numFmtId="0" fontId="104" fillId="0" borderId="68" xfId="0" applyFont="1" applyFill="1" applyBorder="1" applyAlignment="1" applyProtection="1">
      <alignment horizontal="left" vertical="center"/>
      <protection locked="0"/>
    </xf>
    <xf numFmtId="0" fontId="104" fillId="0" borderId="127" xfId="0" applyFont="1" applyFill="1" applyBorder="1" applyAlignment="1" applyProtection="1">
      <alignment horizontal="left" vertical="center"/>
      <protection locked="0"/>
    </xf>
    <xf numFmtId="0" fontId="113" fillId="0" borderId="5" xfId="0" applyFont="1" applyFill="1" applyBorder="1" applyAlignment="1" applyProtection="1">
      <alignment horizontal="right" vertical="center"/>
      <protection locked="0"/>
    </xf>
    <xf numFmtId="0" fontId="113" fillId="0" borderId="19" xfId="0" applyFont="1" applyBorder="1" applyAlignment="1" applyProtection="1">
      <alignment horizontal="left" vertical="center"/>
      <protection locked="0"/>
    </xf>
    <xf numFmtId="0" fontId="113" fillId="0" borderId="12" xfId="0" applyFont="1" applyFill="1" applyBorder="1" applyAlignment="1" applyProtection="1">
      <alignment horizontal="left" vertical="center"/>
      <protection locked="0"/>
    </xf>
    <xf numFmtId="0" fontId="113" fillId="0" borderId="12" xfId="0" applyFont="1" applyBorder="1" applyAlignment="1" applyProtection="1">
      <alignment horizontal="left" vertical="center"/>
      <protection locked="0"/>
    </xf>
    <xf numFmtId="0" fontId="113" fillId="0" borderId="60" xfId="0" applyFont="1" applyFill="1" applyBorder="1" applyAlignment="1" applyProtection="1">
      <alignment horizontal="left" vertical="center"/>
      <protection locked="0"/>
    </xf>
    <xf numFmtId="0" fontId="113" fillId="0" borderId="5" xfId="0" applyFont="1" applyBorder="1" applyAlignment="1" applyProtection="1">
      <alignment horizontal="right" vertical="center"/>
      <protection locked="0"/>
    </xf>
    <xf numFmtId="0" fontId="113" fillId="0" borderId="74" xfId="0" applyFont="1" applyFill="1" applyBorder="1" applyAlignment="1" applyProtection="1">
      <alignment horizontal="right" vertical="center"/>
      <protection locked="0"/>
    </xf>
    <xf numFmtId="0" fontId="113" fillId="0" borderId="13" xfId="0" applyFont="1" applyBorder="1" applyAlignment="1" applyProtection="1">
      <alignment horizontal="left" vertical="center"/>
      <protection locked="0"/>
    </xf>
    <xf numFmtId="0" fontId="113" fillId="0" borderId="75" xfId="0" applyFont="1" applyBorder="1" applyAlignment="1" applyProtection="1">
      <alignment horizontal="left" vertical="center"/>
      <protection locked="0"/>
    </xf>
    <xf numFmtId="0" fontId="113" fillId="0" borderId="46" xfId="0" applyFont="1" applyBorder="1" applyAlignment="1" applyProtection="1">
      <alignment horizontal="right" vertical="center"/>
      <protection locked="0"/>
    </xf>
    <xf numFmtId="0" fontId="113" fillId="0" borderId="6" xfId="0" applyFont="1" applyBorder="1" applyAlignment="1" applyProtection="1">
      <alignment horizontal="left" vertical="center"/>
      <protection locked="0"/>
    </xf>
    <xf numFmtId="0" fontId="113" fillId="0" borderId="5" xfId="0" applyFont="1" applyBorder="1" applyAlignment="1" applyProtection="1">
      <alignment vertical="center"/>
      <protection locked="0"/>
    </xf>
    <xf numFmtId="0" fontId="113" fillId="0" borderId="38" xfId="0" applyFont="1" applyBorder="1" applyAlignment="1" applyProtection="1">
      <alignment horizontal="left" vertical="center"/>
      <protection locked="0"/>
    </xf>
    <xf numFmtId="0" fontId="113" fillId="0" borderId="34" xfId="0" applyFont="1" applyBorder="1" applyAlignment="1" applyProtection="1">
      <alignment horizontal="left" vertical="center"/>
      <protection locked="0"/>
    </xf>
    <xf numFmtId="0" fontId="113" fillId="0" borderId="142" xfId="0" applyFont="1" applyBorder="1" applyAlignment="1" applyProtection="1">
      <alignment horizontal="left" vertical="center"/>
      <protection locked="0"/>
    </xf>
    <xf numFmtId="0" fontId="132" fillId="0" borderId="0" xfId="0" applyFont="1" applyAlignment="1" applyProtection="1">
      <alignment vertical="center"/>
      <protection hidden="1"/>
    </xf>
    <xf numFmtId="0" fontId="0" fillId="0" borderId="42" xfId="0" applyBorder="1" applyAlignment="1" applyProtection="1">
      <alignment horizontal="center" vertical="center"/>
      <protection hidden="1"/>
    </xf>
    <xf numFmtId="0" fontId="17" fillId="0" borderId="207" xfId="0" applyFont="1" applyFill="1" applyBorder="1" applyAlignment="1" applyProtection="1">
      <alignment vertical="center" wrapText="1"/>
      <protection hidden="1"/>
    </xf>
    <xf numFmtId="0" fontId="17" fillId="0" borderId="41" xfId="0" applyFont="1" applyFill="1" applyBorder="1" applyAlignment="1" applyProtection="1">
      <alignment horizontal="left" vertical="center" wrapText="1"/>
      <protection hidden="1"/>
    </xf>
    <xf numFmtId="0" fontId="17" fillId="0" borderId="74" xfId="0" applyFont="1" applyFill="1" applyBorder="1" applyAlignment="1" applyProtection="1">
      <alignment horizontal="left" vertical="center" wrapText="1"/>
      <protection hidden="1"/>
    </xf>
    <xf numFmtId="0" fontId="3" fillId="0" borderId="75" xfId="0" applyFont="1" applyBorder="1" applyAlignment="1" applyProtection="1">
      <alignment vertical="center"/>
      <protection hidden="1"/>
    </xf>
    <xf numFmtId="0" fontId="127" fillId="0" borderId="0" xfId="0" applyFont="1" applyFill="1" applyBorder="1" applyAlignment="1" applyProtection="1">
      <alignment horizontal="center" vertical="center"/>
      <protection hidden="1"/>
    </xf>
    <xf numFmtId="0" fontId="0" fillId="0" borderId="0" xfId="0" applyAlignment="1">
      <alignment vertical="center"/>
    </xf>
    <xf numFmtId="0" fontId="3" fillId="3" borderId="216" xfId="0" applyFont="1" applyFill="1" applyBorder="1" applyAlignment="1">
      <alignment horizontal="center" vertical="center" wrapText="1"/>
    </xf>
    <xf numFmtId="0" fontId="10" fillId="3" borderId="221" xfId="0" applyFont="1" applyFill="1" applyBorder="1" applyAlignment="1">
      <alignment horizontal="center" vertical="center" wrapText="1"/>
    </xf>
    <xf numFmtId="0" fontId="3" fillId="0" borderId="214" xfId="0" applyFont="1" applyBorder="1" applyAlignment="1">
      <alignment vertical="center" wrapText="1"/>
    </xf>
    <xf numFmtId="0" fontId="3" fillId="0" borderId="54" xfId="0" applyFont="1" applyBorder="1" applyAlignment="1">
      <alignment vertical="center" wrapText="1"/>
    </xf>
    <xf numFmtId="0" fontId="3" fillId="0" borderId="219" xfId="0" applyFont="1" applyBorder="1" applyAlignment="1">
      <alignment vertical="center" wrapText="1"/>
    </xf>
    <xf numFmtId="0" fontId="3" fillId="0" borderId="76" xfId="0" applyFont="1" applyBorder="1" applyAlignment="1">
      <alignment vertical="center" wrapText="1"/>
    </xf>
    <xf numFmtId="0" fontId="0" fillId="0" borderId="219" xfId="0" applyBorder="1" applyAlignment="1">
      <alignment vertical="center" wrapText="1"/>
    </xf>
    <xf numFmtId="0" fontId="0" fillId="0" borderId="214" xfId="0" applyBorder="1" applyAlignment="1">
      <alignment vertical="center" wrapText="1"/>
    </xf>
    <xf numFmtId="0" fontId="0" fillId="0" borderId="234" xfId="0" applyBorder="1" applyAlignment="1">
      <alignment vertical="center" wrapText="1"/>
    </xf>
    <xf numFmtId="0" fontId="3" fillId="0" borderId="235" xfId="0" applyFont="1" applyBorder="1" applyAlignment="1">
      <alignment vertical="center" wrapText="1"/>
    </xf>
    <xf numFmtId="0" fontId="118" fillId="0" borderId="0" xfId="0" applyFont="1" applyFill="1" applyBorder="1" applyAlignment="1" applyProtection="1">
      <alignment horizontal="center"/>
      <protection hidden="1"/>
    </xf>
    <xf numFmtId="0" fontId="133" fillId="0" borderId="0" xfId="0" applyFont="1" applyFill="1" applyBorder="1" applyAlignment="1" applyProtection="1">
      <alignment horizontal="left" vertical="center"/>
      <protection hidden="1"/>
    </xf>
    <xf numFmtId="0" fontId="45" fillId="0" borderId="0" xfId="0" applyFont="1"/>
    <xf numFmtId="0" fontId="72" fillId="7" borderId="5" xfId="0" applyFont="1" applyFill="1" applyBorder="1" applyAlignment="1" applyProtection="1">
      <alignment horizontal="center"/>
      <protection hidden="1"/>
    </xf>
    <xf numFmtId="0" fontId="90" fillId="7" borderId="26" xfId="0" applyFont="1" applyFill="1" applyBorder="1" applyAlignment="1" applyProtection="1">
      <alignment horizontal="right" vertical="center"/>
      <protection hidden="1"/>
    </xf>
    <xf numFmtId="0" fontId="72" fillId="7" borderId="241" xfId="0" applyFont="1" applyFill="1" applyBorder="1" applyAlignment="1" applyProtection="1">
      <alignment horizontal="center"/>
      <protection hidden="1"/>
    </xf>
    <xf numFmtId="0" fontId="137" fillId="0" borderId="0" xfId="0" applyFont="1" applyFill="1" applyBorder="1" applyAlignment="1" applyProtection="1">
      <alignment horizontal="center" vertical="center" wrapText="1"/>
      <protection hidden="1"/>
    </xf>
    <xf numFmtId="0" fontId="134" fillId="0" borderId="0" xfId="0" applyFont="1" applyFill="1" applyBorder="1" applyAlignment="1" applyProtection="1">
      <alignment vertical="center"/>
      <protection hidden="1"/>
    </xf>
    <xf numFmtId="0" fontId="141" fillId="0" borderId="0" xfId="0" applyFont="1" applyFill="1" applyBorder="1" applyAlignment="1" applyProtection="1">
      <alignment horizontal="right"/>
      <protection hidden="1"/>
    </xf>
    <xf numFmtId="0" fontId="141" fillId="0" borderId="0" xfId="0" applyFont="1" applyFill="1" applyBorder="1" applyAlignment="1" applyProtection="1">
      <alignment horizontal="center" textRotation="90"/>
      <protection hidden="1"/>
    </xf>
    <xf numFmtId="0" fontId="47" fillId="0" borderId="0" xfId="0" applyFont="1" applyFill="1" applyBorder="1" applyAlignment="1" applyProtection="1">
      <alignment horizontal="center" vertical="center"/>
      <protection hidden="1"/>
    </xf>
    <xf numFmtId="0" fontId="16" fillId="0" borderId="0" xfId="0" applyFont="1" applyFill="1" applyBorder="1" applyAlignment="1" applyProtection="1">
      <alignment horizontal="right" vertical="center"/>
      <protection hidden="1"/>
    </xf>
    <xf numFmtId="0" fontId="110" fillId="0" borderId="16" xfId="0" applyFont="1" applyBorder="1" applyAlignment="1" applyProtection="1">
      <alignment horizontal="left" vertical="top"/>
      <protection hidden="1"/>
    </xf>
    <xf numFmtId="0" fontId="148" fillId="0" borderId="5" xfId="0" applyFont="1" applyBorder="1" applyAlignment="1" applyProtection="1">
      <alignment horizontal="right" vertical="center"/>
      <protection hidden="1"/>
    </xf>
    <xf numFmtId="0" fontId="10" fillId="0" borderId="0" xfId="0" applyFont="1" applyFill="1" applyBorder="1" applyAlignment="1" applyProtection="1">
      <alignment vertical="center" wrapText="1"/>
      <protection hidden="1"/>
    </xf>
    <xf numFmtId="0" fontId="0" fillId="0" borderId="72" xfId="0" applyBorder="1" applyAlignment="1" applyProtection="1">
      <alignment horizontal="center" vertical="center"/>
      <protection hidden="1"/>
    </xf>
    <xf numFmtId="0" fontId="10" fillId="0" borderId="144" xfId="0" applyFont="1" applyBorder="1" applyAlignment="1" applyProtection="1">
      <alignment horizontal="left" vertical="center"/>
      <protection hidden="1"/>
    </xf>
    <xf numFmtId="0" fontId="10" fillId="8" borderId="112" xfId="0" applyFont="1" applyFill="1" applyBorder="1" applyAlignment="1" applyProtection="1">
      <alignment horizontal="center" vertical="center" wrapText="1"/>
      <protection hidden="1"/>
    </xf>
    <xf numFmtId="0" fontId="17" fillId="8" borderId="112" xfId="0" applyFont="1" applyFill="1" applyBorder="1" applyAlignment="1" applyProtection="1">
      <alignment vertical="center" wrapText="1"/>
      <protection hidden="1"/>
    </xf>
    <xf numFmtId="0" fontId="17" fillId="8" borderId="112" xfId="0" applyFont="1" applyFill="1" applyBorder="1" applyAlignment="1" applyProtection="1">
      <alignment horizontal="right" vertical="center" wrapText="1"/>
      <protection hidden="1"/>
    </xf>
    <xf numFmtId="0" fontId="17" fillId="8" borderId="112" xfId="0" applyFont="1" applyFill="1" applyBorder="1" applyAlignment="1" applyProtection="1">
      <alignment horizontal="center" vertical="center" wrapText="1"/>
      <protection hidden="1"/>
    </xf>
    <xf numFmtId="0" fontId="17" fillId="8" borderId="112" xfId="0" applyFont="1" applyFill="1" applyBorder="1" applyAlignment="1" applyProtection="1">
      <alignment horizontal="left" vertical="center" wrapText="1"/>
      <protection hidden="1"/>
    </xf>
    <xf numFmtId="0" fontId="104" fillId="8" borderId="112" xfId="0" applyFont="1" applyFill="1" applyBorder="1" applyAlignment="1" applyProtection="1">
      <alignment horizontal="center" vertical="center" wrapText="1"/>
      <protection locked="0"/>
    </xf>
    <xf numFmtId="0" fontId="104" fillId="8" borderId="182" xfId="0" applyFont="1" applyFill="1" applyBorder="1" applyAlignment="1" applyProtection="1">
      <alignment horizontal="center" vertical="center" wrapText="1"/>
      <protection locked="0"/>
    </xf>
    <xf numFmtId="0" fontId="17" fillId="0" borderId="160" xfId="0" applyFont="1" applyFill="1" applyBorder="1" applyAlignment="1" applyProtection="1">
      <alignment horizontal="right" vertical="center" wrapText="1"/>
      <protection hidden="1"/>
    </xf>
    <xf numFmtId="0" fontId="17" fillId="0" borderId="135" xfId="0" applyFont="1" applyFill="1" applyBorder="1" applyAlignment="1" applyProtection="1">
      <alignment vertical="center" wrapText="1"/>
      <protection hidden="1"/>
    </xf>
    <xf numFmtId="0" fontId="17" fillId="0" borderId="50" xfId="0" applyFont="1" applyFill="1" applyBorder="1" applyAlignment="1" applyProtection="1">
      <alignment vertical="center" wrapText="1"/>
      <protection hidden="1"/>
    </xf>
    <xf numFmtId="0" fontId="10" fillId="0" borderId="49" xfId="0" applyFont="1" applyFill="1" applyBorder="1" applyAlignment="1" applyProtection="1">
      <alignment horizontal="center" vertical="top"/>
      <protection hidden="1"/>
    </xf>
    <xf numFmtId="0" fontId="10" fillId="5" borderId="251" xfId="0" applyFont="1" applyFill="1" applyBorder="1" applyAlignment="1" applyProtection="1">
      <alignment horizontal="center" vertical="center"/>
      <protection hidden="1"/>
    </xf>
    <xf numFmtId="0" fontId="10" fillId="5" borderId="66" xfId="0" applyFont="1" applyFill="1" applyBorder="1" applyAlignment="1" applyProtection="1">
      <alignment horizontal="center" vertical="center"/>
      <protection hidden="1"/>
    </xf>
    <xf numFmtId="0" fontId="70" fillId="5" borderId="186" xfId="0" applyFont="1" applyFill="1" applyBorder="1" applyAlignment="1" applyProtection="1">
      <alignment vertical="center" wrapText="1"/>
      <protection hidden="1"/>
    </xf>
    <xf numFmtId="0" fontId="10" fillId="0" borderId="207" xfId="0" applyFont="1" applyBorder="1" applyAlignment="1" applyProtection="1">
      <alignment vertical="center"/>
      <protection hidden="1"/>
    </xf>
    <xf numFmtId="0" fontId="2" fillId="8" borderId="112" xfId="0" applyFont="1" applyFill="1" applyBorder="1" applyAlignment="1" applyProtection="1">
      <alignment horizontal="center" vertical="center" wrapText="1"/>
      <protection hidden="1"/>
    </xf>
    <xf numFmtId="0" fontId="2" fillId="8" borderId="110" xfId="0" applyFont="1" applyFill="1" applyBorder="1" applyAlignment="1" applyProtection="1">
      <alignment horizontal="center" vertical="center"/>
      <protection hidden="1"/>
    </xf>
    <xf numFmtId="0" fontId="149" fillId="0" borderId="16" xfId="0" applyFont="1" applyBorder="1" applyAlignment="1" applyProtection="1">
      <alignment vertical="center"/>
      <protection hidden="1"/>
    </xf>
    <xf numFmtId="0" fontId="1" fillId="0" borderId="0" xfId="0" applyFont="1"/>
    <xf numFmtId="0" fontId="134" fillId="0" borderId="0" xfId="0" applyFont="1" applyFill="1" applyAlignment="1" applyProtection="1">
      <alignment vertical="center"/>
      <protection hidden="1"/>
    </xf>
    <xf numFmtId="0" fontId="0" fillId="0" borderId="72" xfId="0" applyBorder="1" applyAlignment="1" applyProtection="1">
      <alignment horizontal="center" vertical="center"/>
      <protection hidden="1"/>
    </xf>
    <xf numFmtId="0" fontId="10" fillId="0" borderId="16" xfId="0" applyFont="1" applyFill="1" applyBorder="1" applyAlignment="1" applyProtection="1">
      <alignment vertical="center" wrapText="1"/>
      <protection hidden="1"/>
    </xf>
    <xf numFmtId="0" fontId="10" fillId="0" borderId="160" xfId="0" applyFont="1" applyBorder="1" applyAlignment="1" applyProtection="1">
      <alignment horizontal="right" vertical="center"/>
      <protection hidden="1"/>
    </xf>
    <xf numFmtId="0" fontId="10" fillId="0" borderId="0" xfId="0" applyFont="1" applyFill="1" applyBorder="1" applyAlignment="1" applyProtection="1">
      <alignment horizontal="center" wrapText="1"/>
      <protection hidden="1"/>
    </xf>
    <xf numFmtId="0" fontId="98" fillId="0" borderId="0" xfId="0" applyFont="1" applyFill="1" applyBorder="1" applyAlignment="1" applyProtection="1">
      <alignment horizontal="right"/>
      <protection hidden="1"/>
    </xf>
    <xf numFmtId="0" fontId="72" fillId="0" borderId="24" xfId="0" applyFont="1" applyFill="1" applyBorder="1" applyAlignment="1" applyProtection="1">
      <alignment horizontal="center" vertical="center" wrapText="1"/>
      <protection hidden="1"/>
    </xf>
    <xf numFmtId="0" fontId="72" fillId="0" borderId="239" xfId="0" applyFont="1" applyFill="1" applyBorder="1" applyAlignment="1" applyProtection="1">
      <alignment horizontal="right" vertical="center"/>
      <protection hidden="1"/>
    </xf>
    <xf numFmtId="0" fontId="72" fillId="0" borderId="244" xfId="0" applyFont="1" applyFill="1" applyBorder="1" applyAlignment="1" applyProtection="1">
      <alignment horizontal="right" vertical="center"/>
      <protection hidden="1"/>
    </xf>
    <xf numFmtId="0" fontId="72" fillId="7" borderId="1" xfId="0" applyFont="1" applyFill="1" applyBorder="1" applyAlignment="1" applyProtection="1">
      <alignment horizontal="center"/>
      <protection hidden="1"/>
    </xf>
    <xf numFmtId="49" fontId="17" fillId="0" borderId="16" xfId="0" applyNumberFormat="1" applyFont="1" applyFill="1" applyBorder="1" applyAlignment="1" applyProtection="1">
      <alignment horizontal="right" vertical="center"/>
      <protection hidden="1"/>
    </xf>
    <xf numFmtId="49" fontId="17" fillId="0" borderId="5" xfId="0" applyNumberFormat="1" applyFont="1" applyFill="1" applyBorder="1" applyAlignment="1" applyProtection="1">
      <alignment horizontal="right" vertical="center"/>
      <protection hidden="1"/>
    </xf>
    <xf numFmtId="0" fontId="16" fillId="0" borderId="0" xfId="0" applyFont="1" applyFill="1" applyBorder="1" applyAlignment="1" applyProtection="1">
      <alignment vertical="center"/>
      <protection hidden="1"/>
    </xf>
    <xf numFmtId="49" fontId="17" fillId="0" borderId="0" xfId="0" applyNumberFormat="1" applyFont="1" applyFill="1" applyBorder="1" applyAlignment="1" applyProtection="1">
      <alignment horizontal="right" vertical="center"/>
      <protection hidden="1"/>
    </xf>
    <xf numFmtId="0" fontId="17" fillId="0" borderId="0" xfId="0" applyFont="1" applyFill="1" applyBorder="1" applyAlignment="1" applyProtection="1">
      <alignment horizontal="center" vertical="center"/>
      <protection hidden="1"/>
    </xf>
    <xf numFmtId="49" fontId="17" fillId="0" borderId="0" xfId="0" applyNumberFormat="1" applyFont="1" applyFill="1" applyBorder="1" applyAlignment="1" applyProtection="1">
      <alignment vertical="center"/>
      <protection hidden="1"/>
    </xf>
    <xf numFmtId="49" fontId="17" fillId="0" borderId="8" xfId="0" applyNumberFormat="1" applyFont="1" applyFill="1" applyBorder="1" applyAlignment="1" applyProtection="1">
      <alignment horizontal="right" vertical="center"/>
      <protection hidden="1"/>
    </xf>
    <xf numFmtId="0" fontId="23" fillId="0" borderId="0" xfId="0" applyFont="1" applyFill="1" applyBorder="1" applyAlignment="1" applyProtection="1">
      <alignment horizontal="left"/>
      <protection hidden="1"/>
    </xf>
    <xf numFmtId="0" fontId="47" fillId="0" borderId="0" xfId="0" applyFont="1" applyFill="1" applyBorder="1" applyAlignment="1" applyProtection="1">
      <alignment horizontal="right" vertical="center" wrapText="1"/>
      <protection hidden="1"/>
    </xf>
    <xf numFmtId="0" fontId="13" fillId="0" borderId="0" xfId="0" applyFont="1" applyFill="1" applyBorder="1" applyAlignment="1" applyProtection="1">
      <alignment horizontal="right" vertical="top"/>
      <protection hidden="1"/>
    </xf>
    <xf numFmtId="0" fontId="15" fillId="0" borderId="0" xfId="0" applyFont="1" applyFill="1" applyBorder="1" applyAlignment="1" applyProtection="1">
      <alignment horizontal="right" vertical="top"/>
      <protection hidden="1"/>
    </xf>
    <xf numFmtId="0" fontId="143" fillId="0" borderId="0" xfId="0" applyFont="1" applyFill="1" applyBorder="1" applyAlignment="1" applyProtection="1">
      <alignment horizontal="left" vertical="center" wrapText="1"/>
      <protection hidden="1"/>
    </xf>
    <xf numFmtId="0" fontId="140" fillId="0" borderId="0" xfId="0" applyFont="1" applyFill="1" applyBorder="1" applyAlignment="1" applyProtection="1">
      <alignment vertical="center" wrapText="1"/>
      <protection hidden="1"/>
    </xf>
    <xf numFmtId="0" fontId="157" fillId="0" borderId="0" xfId="0" applyFont="1" applyFill="1" applyBorder="1" applyAlignment="1" applyProtection="1">
      <alignment vertical="top"/>
      <protection hidden="1"/>
    </xf>
    <xf numFmtId="0" fontId="158" fillId="7" borderId="2" xfId="0" applyFont="1" applyFill="1" applyBorder="1" applyAlignment="1" applyProtection="1">
      <alignment horizontal="center" vertical="center"/>
      <protection hidden="1"/>
    </xf>
    <xf numFmtId="0" fontId="158" fillId="7" borderId="31" xfId="0" applyFont="1" applyFill="1" applyBorder="1" applyAlignment="1" applyProtection="1">
      <alignment horizontal="center" vertical="center"/>
      <protection hidden="1"/>
    </xf>
    <xf numFmtId="0" fontId="158" fillId="7" borderId="0" xfId="0" applyFont="1" applyFill="1" applyBorder="1" applyAlignment="1" applyProtection="1">
      <alignment horizontal="center" vertical="center"/>
      <protection hidden="1"/>
    </xf>
    <xf numFmtId="0" fontId="158" fillId="7" borderId="14" xfId="0" applyFont="1" applyFill="1" applyBorder="1" applyAlignment="1" applyProtection="1">
      <alignment horizontal="center" vertical="center" wrapText="1"/>
      <protection hidden="1"/>
    </xf>
    <xf numFmtId="0" fontId="158" fillId="7" borderId="256" xfId="0" applyFont="1" applyFill="1" applyBorder="1" applyAlignment="1" applyProtection="1">
      <alignment horizontal="center" vertical="center"/>
      <protection hidden="1"/>
    </xf>
    <xf numFmtId="49" fontId="158" fillId="7" borderId="31" xfId="0" applyNumberFormat="1" applyFont="1" applyFill="1" applyBorder="1" applyAlignment="1" applyProtection="1">
      <alignment horizontal="center" vertical="center"/>
      <protection hidden="1"/>
    </xf>
    <xf numFmtId="0" fontId="158" fillId="7" borderId="31" xfId="0" applyFont="1" applyFill="1" applyBorder="1" applyAlignment="1" applyProtection="1">
      <alignment horizontal="center" vertical="center" wrapText="1"/>
      <protection hidden="1"/>
    </xf>
    <xf numFmtId="0" fontId="158" fillId="7" borderId="21" xfId="0" applyFont="1" applyFill="1" applyBorder="1" applyAlignment="1" applyProtection="1">
      <alignment horizontal="center" vertical="center" wrapText="1"/>
      <protection hidden="1"/>
    </xf>
    <xf numFmtId="49" fontId="158" fillId="7" borderId="242" xfId="0" applyNumberFormat="1" applyFont="1" applyFill="1" applyBorder="1" applyAlignment="1" applyProtection="1">
      <alignment horizontal="center" vertical="center"/>
      <protection hidden="1"/>
    </xf>
    <xf numFmtId="0" fontId="158" fillId="3" borderId="31" xfId="0" applyFont="1" applyFill="1" applyBorder="1" applyAlignment="1" applyProtection="1">
      <alignment horizontal="center" vertical="center"/>
      <protection hidden="1"/>
    </xf>
    <xf numFmtId="0" fontId="158" fillId="3" borderId="31" xfId="0" applyFont="1" applyFill="1" applyBorder="1" applyAlignment="1" applyProtection="1">
      <alignment horizontal="center" vertical="center" wrapText="1"/>
      <protection hidden="1"/>
    </xf>
    <xf numFmtId="0" fontId="158" fillId="3" borderId="2" xfId="0" applyFont="1" applyFill="1" applyBorder="1" applyAlignment="1" applyProtection="1">
      <alignment horizontal="center" vertical="center"/>
      <protection hidden="1"/>
    </xf>
    <xf numFmtId="0" fontId="158" fillId="7" borderId="242" xfId="0" applyFont="1" applyFill="1" applyBorder="1" applyAlignment="1" applyProtection="1">
      <alignment horizontal="center" vertical="center"/>
      <protection hidden="1"/>
    </xf>
    <xf numFmtId="49" fontId="158" fillId="7" borderId="31" xfId="0" applyNumberFormat="1" applyFont="1" applyFill="1" applyBorder="1" applyAlignment="1" applyProtection="1">
      <alignment horizontal="center" vertical="center" wrapText="1"/>
      <protection hidden="1"/>
    </xf>
    <xf numFmtId="49" fontId="158" fillId="7" borderId="21" xfId="0" applyNumberFormat="1" applyFont="1" applyFill="1" applyBorder="1" applyAlignment="1" applyProtection="1">
      <alignment horizontal="center" vertical="center" wrapText="1"/>
      <protection hidden="1"/>
    </xf>
    <xf numFmtId="0" fontId="158" fillId="3" borderId="2" xfId="0" applyFont="1" applyFill="1" applyBorder="1" applyAlignment="1" applyProtection="1">
      <alignment horizontal="center" vertical="center" wrapText="1"/>
      <protection hidden="1"/>
    </xf>
    <xf numFmtId="0" fontId="158" fillId="3" borderId="242" xfId="0" applyFont="1" applyFill="1" applyBorder="1" applyAlignment="1" applyProtection="1">
      <alignment horizontal="center" vertical="center"/>
      <protection hidden="1"/>
    </xf>
    <xf numFmtId="49" fontId="158" fillId="3" borderId="31" xfId="0" applyNumberFormat="1" applyFont="1" applyFill="1" applyBorder="1" applyAlignment="1" applyProtection="1">
      <alignment horizontal="center" vertical="center"/>
      <protection hidden="1"/>
    </xf>
    <xf numFmtId="0" fontId="158" fillId="3" borderId="31" xfId="0" applyFont="1" applyFill="1" applyBorder="1" applyAlignment="1" applyProtection="1">
      <alignment horizontal="left" vertical="center"/>
      <protection hidden="1"/>
    </xf>
    <xf numFmtId="0" fontId="158" fillId="3" borderId="10" xfId="0" applyFont="1" applyFill="1" applyBorder="1" applyAlignment="1" applyProtection="1">
      <alignment vertical="center"/>
      <protection hidden="1"/>
    </xf>
    <xf numFmtId="0" fontId="158" fillId="3" borderId="152" xfId="0" applyFont="1" applyFill="1" applyBorder="1" applyAlignment="1" applyProtection="1">
      <alignment horizontal="center" vertical="center"/>
      <protection hidden="1"/>
    </xf>
    <xf numFmtId="0" fontId="158" fillId="3" borderId="1" xfId="0" applyFont="1" applyFill="1" applyBorder="1" applyAlignment="1" applyProtection="1">
      <alignment horizontal="center" vertical="center" wrapText="1"/>
      <protection hidden="1"/>
    </xf>
    <xf numFmtId="0" fontId="158" fillId="3" borderId="1" xfId="0" applyFont="1" applyFill="1" applyBorder="1" applyAlignment="1" applyProtection="1">
      <alignment horizontal="center" vertical="center"/>
      <protection hidden="1"/>
    </xf>
    <xf numFmtId="0" fontId="158" fillId="3" borderId="10" xfId="0" applyFont="1" applyFill="1" applyBorder="1" applyAlignment="1" applyProtection="1">
      <alignment horizontal="center" vertical="center"/>
      <protection hidden="1"/>
    </xf>
    <xf numFmtId="0" fontId="158" fillId="3" borderId="241" xfId="0" applyFont="1" applyFill="1" applyBorder="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0" fontId="17" fillId="0" borderId="0" xfId="0" applyFont="1" applyFill="1" applyBorder="1" applyAlignment="1" applyProtection="1">
      <alignment wrapText="1"/>
      <protection hidden="1"/>
    </xf>
    <xf numFmtId="0" fontId="99" fillId="0" borderId="28" xfId="0" applyFont="1" applyFill="1" applyBorder="1" applyAlignment="1" applyProtection="1">
      <alignment vertical="center"/>
      <protection hidden="1"/>
    </xf>
    <xf numFmtId="165" fontId="17" fillId="0" borderId="5" xfId="0" applyNumberFormat="1" applyFont="1" applyFill="1" applyBorder="1" applyAlignment="1" applyProtection="1">
      <alignment horizontal="center" vertical="center"/>
      <protection hidden="1"/>
    </xf>
    <xf numFmtId="165" fontId="17" fillId="0" borderId="8" xfId="0" applyNumberFormat="1" applyFont="1" applyFill="1" applyBorder="1" applyAlignment="1" applyProtection="1">
      <alignment horizontal="center" vertical="center"/>
      <protection hidden="1"/>
    </xf>
    <xf numFmtId="0" fontId="15" fillId="0" borderId="0" xfId="0" applyFont="1" applyFill="1" applyBorder="1" applyAlignment="1" applyProtection="1">
      <alignment horizontal="center"/>
      <protection hidden="1"/>
    </xf>
    <xf numFmtId="0" fontId="47" fillId="0" borderId="0" xfId="0" applyFont="1" applyFill="1" applyBorder="1" applyAlignment="1" applyProtection="1">
      <alignment horizontal="center"/>
      <protection hidden="1"/>
    </xf>
    <xf numFmtId="0" fontId="125" fillId="0" borderId="0" xfId="0" applyFont="1" applyFill="1" applyBorder="1" applyAlignment="1" applyProtection="1">
      <alignment horizontal="right" vertical="center"/>
      <protection hidden="1"/>
    </xf>
    <xf numFmtId="0" fontId="141" fillId="0" borderId="0" xfId="0" applyFont="1" applyFill="1" applyBorder="1" applyAlignment="1" applyProtection="1">
      <alignment horizontal="right" vertical="top"/>
      <protection hidden="1"/>
    </xf>
    <xf numFmtId="49" fontId="3" fillId="0" borderId="3" xfId="0" applyNumberFormat="1" applyFont="1" applyFill="1" applyBorder="1" applyAlignment="1" applyProtection="1">
      <alignment horizontal="right" vertical="center"/>
      <protection hidden="1"/>
    </xf>
    <xf numFmtId="165" fontId="17" fillId="0" borderId="3" xfId="0" applyNumberFormat="1" applyFont="1" applyFill="1" applyBorder="1" applyAlignment="1" applyProtection="1">
      <alignment horizontal="center" vertical="center"/>
      <protection hidden="1"/>
    </xf>
    <xf numFmtId="0" fontId="15" fillId="0" borderId="19" xfId="0" applyFont="1" applyFill="1" applyBorder="1" applyAlignment="1" applyProtection="1">
      <alignment horizontal="left"/>
      <protection hidden="1"/>
    </xf>
    <xf numFmtId="0" fontId="133" fillId="0" borderId="0" xfId="0" applyFont="1" applyFill="1" applyBorder="1" applyAlignment="1" applyProtection="1">
      <alignment horizontal="right" vertical="top"/>
      <protection hidden="1"/>
    </xf>
    <xf numFmtId="0" fontId="65" fillId="0" borderId="0" xfId="0" applyFont="1" applyFill="1" applyBorder="1" applyAlignment="1" applyProtection="1">
      <alignment vertical="center" wrapText="1"/>
      <protection hidden="1"/>
    </xf>
    <xf numFmtId="0" fontId="159" fillId="0" borderId="0" xfId="0" applyFont="1" applyFill="1" applyBorder="1" applyAlignment="1" applyProtection="1">
      <alignment horizontal="left" vertical="center"/>
      <protection hidden="1"/>
    </xf>
    <xf numFmtId="0" fontId="3" fillId="0" borderId="0" xfId="0" applyFont="1" applyFill="1" applyBorder="1" applyAlignment="1" applyProtection="1">
      <alignment horizontal="center" vertical="center"/>
      <protection hidden="1"/>
    </xf>
    <xf numFmtId="0" fontId="30" fillId="0" borderId="0" xfId="0" applyFont="1" applyFill="1" applyBorder="1" applyAlignment="1" applyProtection="1">
      <alignment vertical="center"/>
      <protection hidden="1"/>
    </xf>
    <xf numFmtId="0" fontId="20" fillId="0" borderId="58" xfId="0" applyFont="1" applyFill="1" applyBorder="1" applyAlignment="1" applyProtection="1">
      <alignment horizontal="left" vertical="center" textRotation="90" wrapText="1"/>
      <protection hidden="1"/>
    </xf>
    <xf numFmtId="0" fontId="20" fillId="0" borderId="0" xfId="0" applyFont="1" applyFill="1" applyBorder="1" applyAlignment="1" applyProtection="1">
      <alignment horizontal="left" vertical="center" textRotation="90" wrapText="1"/>
      <protection hidden="1"/>
    </xf>
    <xf numFmtId="0" fontId="20" fillId="0" borderId="47" xfId="0" applyFont="1" applyFill="1" applyBorder="1" applyAlignment="1" applyProtection="1">
      <alignment horizontal="left" vertical="center" textRotation="90" wrapText="1"/>
      <protection hidden="1"/>
    </xf>
    <xf numFmtId="0" fontId="10" fillId="7" borderId="0" xfId="0" applyFont="1" applyFill="1" applyBorder="1" applyAlignment="1" applyProtection="1">
      <alignment vertical="center"/>
      <protection hidden="1"/>
    </xf>
    <xf numFmtId="165" fontId="15" fillId="17" borderId="16" xfId="0" applyNumberFormat="1" applyFont="1" applyFill="1" applyBorder="1" applyAlignment="1" applyProtection="1">
      <alignment horizontal="center" vertical="center"/>
      <protection hidden="1"/>
    </xf>
    <xf numFmtId="0" fontId="73" fillId="17" borderId="16" xfId="0" applyFont="1" applyFill="1" applyBorder="1" applyAlignment="1" applyProtection="1">
      <alignment horizontal="left" vertical="center"/>
      <protection hidden="1"/>
    </xf>
    <xf numFmtId="49" fontId="3" fillId="17" borderId="16" xfId="0" applyNumberFormat="1" applyFont="1" applyFill="1" applyBorder="1" applyAlignment="1" applyProtection="1">
      <alignment horizontal="right" vertical="center"/>
      <protection hidden="1"/>
    </xf>
    <xf numFmtId="164" fontId="153" fillId="0" borderId="0" xfId="0" applyNumberFormat="1" applyFont="1" applyFill="1" applyBorder="1" applyAlignment="1" applyProtection="1">
      <alignment horizontal="center" vertical="center"/>
      <protection hidden="1"/>
    </xf>
    <xf numFmtId="0" fontId="153" fillId="0" borderId="0" xfId="0" applyFont="1" applyFill="1" applyBorder="1" applyAlignment="1" applyProtection="1">
      <alignment horizontal="left" vertical="center"/>
      <protection hidden="1"/>
    </xf>
    <xf numFmtId="0" fontId="40" fillId="17" borderId="8" xfId="0" applyFont="1" applyFill="1" applyBorder="1" applyAlignment="1" applyProtection="1">
      <alignment vertical="center"/>
      <protection hidden="1"/>
    </xf>
    <xf numFmtId="0" fontId="145" fillId="0" borderId="0" xfId="0" applyFont="1" applyFill="1" applyAlignment="1" applyProtection="1">
      <protection hidden="1"/>
    </xf>
    <xf numFmtId="0" fontId="104" fillId="0" borderId="0" xfId="0" applyFont="1" applyFill="1" applyAlignment="1" applyProtection="1">
      <protection hidden="1"/>
    </xf>
    <xf numFmtId="0" fontId="152" fillId="0" borderId="0" xfId="0" applyFont="1" applyFill="1" applyAlignment="1" applyProtection="1">
      <alignment horizontal="right"/>
      <protection hidden="1"/>
    </xf>
    <xf numFmtId="0" fontId="152" fillId="0" borderId="0" xfId="0" applyFont="1" applyFill="1" applyAlignment="1" applyProtection="1">
      <alignment horizontal="left"/>
      <protection hidden="1"/>
    </xf>
    <xf numFmtId="0" fontId="152" fillId="0" borderId="0" xfId="0" applyFont="1" applyFill="1" applyAlignment="1" applyProtection="1">
      <protection hidden="1"/>
    </xf>
    <xf numFmtId="0" fontId="152" fillId="0" borderId="0" xfId="0" applyFont="1" applyFill="1" applyAlignment="1" applyProtection="1">
      <alignment horizontal="right" vertical="top"/>
      <protection hidden="1"/>
    </xf>
    <xf numFmtId="0" fontId="152" fillId="0" borderId="0" xfId="0" applyFont="1" applyFill="1" applyAlignment="1" applyProtection="1">
      <alignment horizontal="left" vertical="top"/>
      <protection hidden="1"/>
    </xf>
    <xf numFmtId="0" fontId="152" fillId="0" borderId="0" xfId="0" applyFont="1" applyFill="1" applyAlignment="1" applyProtection="1">
      <alignment vertical="top"/>
      <protection hidden="1"/>
    </xf>
    <xf numFmtId="49" fontId="88" fillId="12" borderId="102" xfId="0" applyNumberFormat="1" applyFont="1" applyFill="1" applyBorder="1" applyAlignment="1" applyProtection="1">
      <alignment horizontal="left" vertical="center"/>
      <protection locked="0"/>
    </xf>
    <xf numFmtId="0" fontId="110" fillId="0" borderId="58" xfId="0" applyFont="1" applyFill="1" applyBorder="1" applyAlignment="1" applyProtection="1">
      <alignment horizontal="left" vertical="center"/>
      <protection hidden="1"/>
    </xf>
    <xf numFmtId="49" fontId="17" fillId="0" borderId="24" xfId="0" applyNumberFormat="1" applyFont="1" applyFill="1" applyBorder="1" applyAlignment="1" applyProtection="1">
      <alignment vertical="center"/>
      <protection hidden="1"/>
    </xf>
    <xf numFmtId="0" fontId="143" fillId="0" borderId="16" xfId="0" applyFont="1" applyFill="1" applyBorder="1" applyAlignment="1" applyProtection="1">
      <alignment horizontal="right" vertical="center"/>
      <protection hidden="1"/>
    </xf>
    <xf numFmtId="0" fontId="17" fillId="0" borderId="5" xfId="0" applyNumberFormat="1" applyFont="1" applyFill="1" applyBorder="1" applyAlignment="1" applyProtection="1">
      <alignment vertical="center"/>
      <protection hidden="1"/>
    </xf>
    <xf numFmtId="0" fontId="99" fillId="0" borderId="5" xfId="0" applyFont="1" applyFill="1" applyBorder="1" applyAlignment="1" applyProtection="1">
      <alignment vertical="center"/>
      <protection hidden="1"/>
    </xf>
    <xf numFmtId="0" fontId="99" fillId="0" borderId="8" xfId="0" applyFont="1" applyFill="1" applyBorder="1" applyAlignment="1" applyProtection="1">
      <alignment vertical="center"/>
      <protection hidden="1"/>
    </xf>
    <xf numFmtId="0" fontId="136" fillId="0" borderId="0" xfId="0" applyFont="1" applyFill="1" applyBorder="1" applyAlignment="1" applyProtection="1">
      <alignment vertical="center"/>
      <protection hidden="1"/>
    </xf>
    <xf numFmtId="0" fontId="125" fillId="0" borderId="58" xfId="0" applyFont="1" applyFill="1" applyBorder="1" applyAlignment="1" applyProtection="1">
      <alignment horizontal="left" vertical="center"/>
      <protection hidden="1"/>
    </xf>
    <xf numFmtId="0" fontId="146" fillId="0" borderId="58" xfId="0" applyFont="1" applyFill="1" applyBorder="1" applyAlignment="1" applyProtection="1">
      <alignment horizontal="center" vertical="center" wrapText="1"/>
      <protection hidden="1"/>
    </xf>
    <xf numFmtId="0" fontId="125" fillId="0" borderId="0" xfId="0" applyFont="1" applyFill="1" applyBorder="1" applyAlignment="1" applyProtection="1">
      <alignment vertical="center"/>
      <protection hidden="1"/>
    </xf>
    <xf numFmtId="0" fontId="125" fillId="0" borderId="0" xfId="0" applyFont="1" applyFill="1" applyBorder="1" applyAlignment="1" applyProtection="1">
      <alignment horizontal="left" vertical="center"/>
      <protection hidden="1"/>
    </xf>
    <xf numFmtId="0" fontId="62" fillId="18" borderId="0" xfId="0" applyFont="1" applyFill="1" applyBorder="1" applyAlignment="1" applyProtection="1">
      <alignment vertical="center"/>
      <protection hidden="1"/>
    </xf>
    <xf numFmtId="0" fontId="61" fillId="18" borderId="0" xfId="0" applyFont="1" applyFill="1" applyBorder="1" applyAlignment="1" applyProtection="1">
      <alignment vertical="center"/>
      <protection hidden="1"/>
    </xf>
    <xf numFmtId="0" fontId="99" fillId="18" borderId="0" xfId="0" applyFont="1" applyFill="1" applyAlignment="1" applyProtection="1">
      <alignment vertical="center"/>
      <protection hidden="1"/>
    </xf>
    <xf numFmtId="0" fontId="5" fillId="18" borderId="0" xfId="0" applyFont="1" applyFill="1" applyAlignment="1" applyProtection="1">
      <alignment vertical="center"/>
      <protection hidden="1"/>
    </xf>
    <xf numFmtId="0" fontId="54" fillId="18" borderId="0" xfId="0" applyFont="1" applyFill="1" applyAlignment="1" applyProtection="1">
      <alignment horizontal="center" vertical="center"/>
      <protection hidden="1"/>
    </xf>
    <xf numFmtId="0" fontId="61" fillId="18" borderId="0" xfId="0" applyFont="1" applyFill="1" applyAlignment="1" applyProtection="1">
      <alignment vertical="center"/>
      <protection hidden="1"/>
    </xf>
    <xf numFmtId="0" fontId="54" fillId="18" borderId="0" xfId="0" applyFont="1" applyFill="1" applyAlignment="1" applyProtection="1">
      <alignment horizontal="left" vertical="center"/>
      <protection hidden="1"/>
    </xf>
    <xf numFmtId="0" fontId="28" fillId="18" borderId="0" xfId="0" applyFont="1" applyFill="1" applyAlignment="1" applyProtection="1">
      <protection hidden="1"/>
    </xf>
    <xf numFmtId="0" fontId="5" fillId="18" borderId="0" xfId="0" applyFont="1" applyFill="1" applyBorder="1" applyAlignment="1" applyProtection="1">
      <alignment vertical="center"/>
      <protection hidden="1"/>
    </xf>
    <xf numFmtId="0" fontId="3" fillId="18" borderId="0" xfId="0" applyFont="1" applyFill="1" applyAlignment="1" applyProtection="1">
      <alignment horizontal="right" vertical="center"/>
      <protection hidden="1"/>
    </xf>
    <xf numFmtId="0" fontId="58" fillId="18" borderId="0" xfId="0" applyFont="1" applyFill="1" applyAlignment="1" applyProtection="1">
      <alignment vertical="center"/>
      <protection hidden="1"/>
    </xf>
    <xf numFmtId="0" fontId="99" fillId="18" borderId="43" xfId="0" applyFont="1" applyFill="1" applyBorder="1" applyAlignment="1" applyProtection="1">
      <alignment vertical="center"/>
      <protection hidden="1"/>
    </xf>
    <xf numFmtId="0" fontId="3" fillId="18" borderId="43" xfId="0" applyFont="1" applyFill="1" applyBorder="1" applyAlignment="1" applyProtection="1">
      <alignment horizontal="right" vertical="center"/>
      <protection hidden="1"/>
    </xf>
    <xf numFmtId="0" fontId="3" fillId="18" borderId="3" xfId="0" applyFont="1" applyFill="1" applyBorder="1" applyAlignment="1" applyProtection="1">
      <alignment horizontal="center" vertical="center"/>
      <protection hidden="1"/>
    </xf>
    <xf numFmtId="0" fontId="58" fillId="18" borderId="4" xfId="0" applyFont="1" applyFill="1" applyBorder="1" applyAlignment="1" applyProtection="1">
      <alignment vertical="center"/>
      <protection hidden="1"/>
    </xf>
    <xf numFmtId="1" fontId="10" fillId="18" borderId="2" xfId="0" applyNumberFormat="1" applyFont="1" applyFill="1" applyBorder="1" applyAlignment="1" applyProtection="1">
      <alignment horizontal="center" vertical="center"/>
      <protection hidden="1"/>
    </xf>
    <xf numFmtId="0" fontId="17" fillId="18" borderId="62" xfId="0" applyFont="1" applyFill="1" applyBorder="1" applyAlignment="1" applyProtection="1">
      <alignment horizontal="right" vertical="center"/>
      <protection hidden="1"/>
    </xf>
    <xf numFmtId="1" fontId="10" fillId="18" borderId="208" xfId="0" applyNumberFormat="1" applyFont="1" applyFill="1" applyBorder="1" applyAlignment="1" applyProtection="1">
      <alignment horizontal="left" vertical="center"/>
      <protection hidden="1"/>
    </xf>
    <xf numFmtId="0" fontId="3" fillId="18" borderId="26" xfId="0" applyFont="1" applyFill="1" applyBorder="1" applyAlignment="1" applyProtection="1">
      <alignment horizontal="center" vertical="center"/>
      <protection hidden="1"/>
    </xf>
    <xf numFmtId="0" fontId="1" fillId="18" borderId="24" xfId="0" quotePrefix="1" applyFont="1" applyFill="1" applyBorder="1" applyAlignment="1" applyProtection="1">
      <alignment vertical="center"/>
      <protection hidden="1"/>
    </xf>
    <xf numFmtId="0" fontId="5" fillId="18" borderId="35" xfId="0" applyFont="1" applyFill="1" applyBorder="1" applyAlignment="1" applyProtection="1">
      <alignment vertical="center"/>
      <protection hidden="1"/>
    </xf>
    <xf numFmtId="0" fontId="99" fillId="18" borderId="61" xfId="0" applyFont="1" applyFill="1" applyBorder="1" applyAlignment="1" applyProtection="1">
      <alignment vertical="center"/>
      <protection hidden="1"/>
    </xf>
    <xf numFmtId="0" fontId="3" fillId="18" borderId="5" xfId="0" applyFont="1" applyFill="1" applyBorder="1" applyAlignment="1" applyProtection="1">
      <alignment horizontal="center" vertical="center"/>
      <protection hidden="1"/>
    </xf>
    <xf numFmtId="0" fontId="58" fillId="18" borderId="13" xfId="0" applyFont="1" applyFill="1" applyBorder="1" applyAlignment="1" applyProtection="1">
      <alignment vertical="center"/>
      <protection hidden="1"/>
    </xf>
    <xf numFmtId="1" fontId="2" fillId="18" borderId="7" xfId="0" applyNumberFormat="1" applyFont="1" applyFill="1" applyBorder="1" applyAlignment="1" applyProtection="1">
      <alignment horizontal="center" vertical="center"/>
      <protection hidden="1"/>
    </xf>
    <xf numFmtId="0" fontId="65" fillId="18" borderId="9" xfId="0" applyFont="1" applyFill="1" applyBorder="1" applyAlignment="1" applyProtection="1">
      <alignment horizontal="right" vertical="center"/>
      <protection hidden="1"/>
    </xf>
    <xf numFmtId="0" fontId="17" fillId="18" borderId="31" xfId="0" applyFont="1" applyFill="1" applyBorder="1" applyAlignment="1" applyProtection="1">
      <alignment horizontal="center" vertical="center"/>
      <protection hidden="1"/>
    </xf>
    <xf numFmtId="0" fontId="72" fillId="18" borderId="21" xfId="0" applyFont="1" applyFill="1" applyBorder="1" applyAlignment="1" applyProtection="1">
      <alignment vertical="center"/>
      <protection hidden="1"/>
    </xf>
    <xf numFmtId="0" fontId="10" fillId="18" borderId="2" xfId="0" applyFont="1" applyFill="1" applyBorder="1" applyAlignment="1" applyProtection="1">
      <alignment horizontal="center" vertical="center"/>
      <protection hidden="1"/>
    </xf>
    <xf numFmtId="0" fontId="65" fillId="18" borderId="14" xfId="0" applyFont="1" applyFill="1" applyBorder="1" applyAlignment="1" applyProtection="1">
      <alignment vertical="center"/>
      <protection hidden="1"/>
    </xf>
    <xf numFmtId="0" fontId="93" fillId="18" borderId="0" xfId="0" applyFont="1" applyFill="1" applyAlignment="1" applyProtection="1">
      <alignment vertical="center"/>
      <protection hidden="1"/>
    </xf>
    <xf numFmtId="0" fontId="40" fillId="18" borderId="0" xfId="0" applyFont="1" applyFill="1" applyAlignment="1" applyProtection="1">
      <alignment vertical="center"/>
      <protection hidden="1"/>
    </xf>
    <xf numFmtId="0" fontId="10" fillId="18" borderId="1" xfId="0" applyFont="1" applyFill="1" applyBorder="1" applyAlignment="1" applyProtection="1">
      <alignment horizontal="center" vertical="center"/>
      <protection hidden="1"/>
    </xf>
    <xf numFmtId="0" fontId="65" fillId="18" borderId="10" xfId="0" applyFont="1" applyFill="1" applyBorder="1" applyAlignment="1" applyProtection="1">
      <alignment vertical="center"/>
      <protection hidden="1"/>
    </xf>
    <xf numFmtId="0" fontId="15" fillId="18" borderId="7" xfId="0" applyFont="1" applyFill="1" applyBorder="1" applyAlignment="1" applyProtection="1">
      <alignment horizontal="center" vertical="center"/>
      <protection hidden="1"/>
    </xf>
    <xf numFmtId="0" fontId="99" fillId="18" borderId="45" xfId="0" applyFont="1" applyFill="1" applyBorder="1" applyAlignment="1" applyProtection="1">
      <alignment vertical="center"/>
      <protection hidden="1"/>
    </xf>
    <xf numFmtId="0" fontId="3" fillId="18" borderId="8" xfId="0" applyFont="1" applyFill="1" applyBorder="1" applyAlignment="1" applyProtection="1">
      <alignment horizontal="center" vertical="center"/>
      <protection hidden="1"/>
    </xf>
    <xf numFmtId="0" fontId="3" fillId="18" borderId="8" xfId="0" applyFont="1" applyFill="1" applyBorder="1" applyAlignment="1" applyProtection="1">
      <alignment horizontal="left" vertical="center"/>
      <protection hidden="1"/>
    </xf>
    <xf numFmtId="0" fontId="58" fillId="18" borderId="23" xfId="0" applyFont="1" applyFill="1" applyBorder="1" applyAlignment="1" applyProtection="1">
      <alignment vertical="center"/>
      <protection hidden="1"/>
    </xf>
    <xf numFmtId="0" fontId="93" fillId="18" borderId="0" xfId="0" applyFont="1" applyFill="1" applyBorder="1" applyAlignment="1" applyProtection="1">
      <alignment vertical="center"/>
      <protection hidden="1"/>
    </xf>
    <xf numFmtId="0" fontId="61" fillId="18" borderId="0" xfId="0" applyFont="1" applyFill="1" applyAlignment="1" applyProtection="1">
      <alignment horizontal="left" vertical="center"/>
      <protection hidden="1"/>
    </xf>
    <xf numFmtId="0" fontId="2" fillId="18" borderId="7" xfId="0" applyFont="1" applyFill="1" applyBorder="1" applyAlignment="1" applyProtection="1">
      <alignment horizontal="center" vertical="center"/>
      <protection hidden="1"/>
    </xf>
    <xf numFmtId="0" fontId="65" fillId="18" borderId="9" xfId="0" applyFont="1" applyFill="1" applyBorder="1" applyAlignment="1" applyProtection="1">
      <alignment horizontal="left" vertical="center"/>
      <protection hidden="1"/>
    </xf>
    <xf numFmtId="0" fontId="65" fillId="18" borderId="33" xfId="0" applyFont="1" applyFill="1" applyBorder="1" applyAlignment="1" applyProtection="1">
      <alignment horizontal="left" vertical="center"/>
      <protection hidden="1"/>
    </xf>
    <xf numFmtId="0" fontId="5" fillId="18" borderId="0" xfId="0" applyFont="1" applyFill="1" applyAlignment="1" applyProtection="1">
      <alignment horizontal="left" vertical="center"/>
      <protection hidden="1"/>
    </xf>
    <xf numFmtId="0" fontId="10" fillId="18" borderId="31" xfId="0" applyFont="1" applyFill="1" applyBorder="1" applyAlignment="1" applyProtection="1">
      <alignment horizontal="center" vertical="center"/>
      <protection hidden="1"/>
    </xf>
    <xf numFmtId="0" fontId="10" fillId="18" borderId="33" xfId="0" applyFont="1" applyFill="1" applyBorder="1" applyAlignment="1" applyProtection="1">
      <alignment vertical="center"/>
      <protection hidden="1"/>
    </xf>
    <xf numFmtId="0" fontId="3" fillId="18" borderId="3" xfId="0" applyFont="1" applyFill="1" applyBorder="1" applyAlignment="1" applyProtection="1">
      <alignment vertical="center"/>
      <protection hidden="1"/>
    </xf>
    <xf numFmtId="0" fontId="65" fillId="18" borderId="52" xfId="0" applyFont="1" applyFill="1" applyBorder="1" applyAlignment="1" applyProtection="1">
      <alignment horizontal="left" vertical="center"/>
      <protection hidden="1"/>
    </xf>
    <xf numFmtId="0" fontId="3" fillId="18" borderId="2" xfId="0" applyFont="1" applyFill="1" applyBorder="1" applyAlignment="1" applyProtection="1">
      <alignment horizontal="center" vertical="center"/>
      <protection hidden="1"/>
    </xf>
    <xf numFmtId="0" fontId="99" fillId="18" borderId="153" xfId="0" applyFont="1" applyFill="1" applyBorder="1" applyAlignment="1" applyProtection="1">
      <alignment vertical="center"/>
      <protection hidden="1"/>
    </xf>
    <xf numFmtId="0" fontId="3" fillId="18" borderId="157" xfId="0" applyFont="1" applyFill="1" applyBorder="1" applyAlignment="1" applyProtection="1">
      <alignment vertical="center" wrapText="1"/>
      <protection hidden="1"/>
    </xf>
    <xf numFmtId="0" fontId="3" fillId="18" borderId="0" xfId="0" applyFont="1" applyFill="1" applyBorder="1" applyAlignment="1" applyProtection="1">
      <alignment vertical="center" wrapText="1"/>
      <protection hidden="1"/>
    </xf>
    <xf numFmtId="0" fontId="3" fillId="18" borderId="5" xfId="0" applyFont="1" applyFill="1" applyBorder="1" applyAlignment="1" applyProtection="1">
      <alignment vertical="center"/>
      <protection hidden="1"/>
    </xf>
    <xf numFmtId="0" fontId="3" fillId="18" borderId="1" xfId="0" applyFont="1" applyFill="1" applyBorder="1" applyAlignment="1" applyProtection="1">
      <alignment horizontal="center" vertical="center"/>
      <protection hidden="1"/>
    </xf>
    <xf numFmtId="0" fontId="10" fillId="18" borderId="52" xfId="0" applyFont="1" applyFill="1" applyBorder="1" applyAlignment="1" applyProtection="1">
      <alignment horizontal="left" vertical="center"/>
      <protection hidden="1"/>
    </xf>
    <xf numFmtId="0" fontId="3" fillId="18" borderId="54" xfId="0" applyFont="1" applyFill="1" applyBorder="1" applyAlignment="1" applyProtection="1">
      <alignment vertical="center" wrapText="1"/>
      <protection hidden="1"/>
    </xf>
    <xf numFmtId="0" fontId="10" fillId="18" borderId="10" xfId="0" applyFont="1" applyFill="1" applyBorder="1" applyAlignment="1" applyProtection="1">
      <alignment vertical="center"/>
      <protection hidden="1"/>
    </xf>
    <xf numFmtId="0" fontId="3" fillId="18" borderId="34" xfId="0" applyFont="1" applyFill="1" applyBorder="1" applyAlignment="1" applyProtection="1">
      <alignment horizontal="left" vertical="center"/>
      <protection hidden="1"/>
    </xf>
    <xf numFmtId="0" fontId="10" fillId="18" borderId="52" xfId="0" applyFont="1" applyFill="1" applyBorder="1" applyAlignment="1" applyProtection="1">
      <alignment horizontal="right" vertical="center"/>
      <protection hidden="1"/>
    </xf>
    <xf numFmtId="0" fontId="10" fillId="18" borderId="51" xfId="0" applyFont="1" applyFill="1" applyBorder="1" applyAlignment="1" applyProtection="1">
      <alignment horizontal="center" vertical="center"/>
      <protection hidden="1"/>
    </xf>
    <xf numFmtId="0" fontId="10" fillId="18" borderId="54" xfId="0" applyFont="1" applyFill="1" applyBorder="1" applyAlignment="1" applyProtection="1">
      <alignment horizontal="left" vertical="center"/>
      <protection hidden="1"/>
    </xf>
    <xf numFmtId="0" fontId="99" fillId="18" borderId="52" xfId="0" applyFont="1" applyFill="1" applyBorder="1" applyAlignment="1" applyProtection="1">
      <alignment vertical="center"/>
      <protection hidden="1"/>
    </xf>
    <xf numFmtId="0" fontId="3" fillId="18" borderId="36" xfId="0" applyFont="1" applyFill="1" applyBorder="1" applyAlignment="1" applyProtection="1">
      <alignment horizontal="right" vertical="center" wrapText="1"/>
      <protection hidden="1"/>
    </xf>
    <xf numFmtId="0" fontId="10" fillId="18" borderId="15" xfId="0" applyFont="1" applyFill="1" applyBorder="1" applyAlignment="1" applyProtection="1">
      <alignment horizontal="left" vertical="center"/>
      <protection hidden="1"/>
    </xf>
    <xf numFmtId="0" fontId="3" fillId="18" borderId="35" xfId="0" applyFont="1" applyFill="1" applyBorder="1" applyAlignment="1" applyProtection="1">
      <alignment horizontal="left" vertical="center"/>
      <protection hidden="1"/>
    </xf>
    <xf numFmtId="0" fontId="2" fillId="18" borderId="26" xfId="0" applyFont="1" applyFill="1" applyBorder="1" applyAlignment="1" applyProtection="1">
      <alignment horizontal="center" vertical="center"/>
      <protection hidden="1"/>
    </xf>
    <xf numFmtId="0" fontId="10" fillId="18" borderId="27" xfId="0" applyFont="1" applyFill="1" applyBorder="1" applyAlignment="1" applyProtection="1">
      <alignment horizontal="left" vertical="center"/>
      <protection hidden="1"/>
    </xf>
    <xf numFmtId="0" fontId="3" fillId="18" borderId="35" xfId="0" applyFont="1" applyFill="1" applyBorder="1" applyAlignment="1" applyProtection="1">
      <alignment vertical="center" wrapText="1"/>
      <protection hidden="1"/>
    </xf>
    <xf numFmtId="0" fontId="10" fillId="18" borderId="14" xfId="0" applyFont="1" applyFill="1" applyBorder="1" applyAlignment="1" applyProtection="1">
      <alignment vertical="center"/>
      <protection hidden="1"/>
    </xf>
    <xf numFmtId="0" fontId="10" fillId="18" borderId="32" xfId="0" applyFont="1" applyFill="1" applyBorder="1" applyAlignment="1" applyProtection="1">
      <alignment horizontal="left" vertical="center"/>
      <protection hidden="1"/>
    </xf>
    <xf numFmtId="0" fontId="3" fillId="18" borderId="20" xfId="0" applyFont="1" applyFill="1" applyBorder="1" applyAlignment="1" applyProtection="1">
      <alignment horizontal="center" vertical="center"/>
      <protection hidden="1"/>
    </xf>
    <xf numFmtId="0" fontId="23" fillId="18" borderId="17" xfId="0" applyFont="1" applyFill="1" applyBorder="1" applyAlignment="1" applyProtection="1">
      <alignment vertical="center"/>
      <protection hidden="1"/>
    </xf>
    <xf numFmtId="0" fontId="23" fillId="18" borderId="48" xfId="0" applyFont="1" applyFill="1" applyBorder="1" applyAlignment="1" applyProtection="1">
      <alignment vertical="center"/>
      <protection hidden="1"/>
    </xf>
    <xf numFmtId="0" fontId="3" fillId="18" borderId="8" xfId="0" applyFont="1" applyFill="1" applyBorder="1" applyAlignment="1" applyProtection="1">
      <alignment vertical="center"/>
      <protection hidden="1"/>
    </xf>
    <xf numFmtId="0" fontId="10" fillId="18" borderId="5" xfId="0" applyFont="1" applyFill="1" applyBorder="1" applyAlignment="1" applyProtection="1">
      <alignment vertical="center"/>
      <protection hidden="1"/>
    </xf>
    <xf numFmtId="0" fontId="0" fillId="18" borderId="34" xfId="0" applyFill="1" applyBorder="1" applyAlignment="1" applyProtection="1">
      <alignment vertical="center"/>
      <protection hidden="1"/>
    </xf>
    <xf numFmtId="0" fontId="23" fillId="18" borderId="24" xfId="0" applyFont="1" applyFill="1" applyBorder="1" applyAlignment="1" applyProtection="1">
      <alignment vertical="center"/>
      <protection hidden="1"/>
    </xf>
    <xf numFmtId="0" fontId="23" fillId="18" borderId="35" xfId="0" applyFont="1" applyFill="1" applyBorder="1" applyAlignment="1" applyProtection="1">
      <alignment vertical="center"/>
      <protection hidden="1"/>
    </xf>
    <xf numFmtId="0" fontId="0" fillId="18" borderId="0" xfId="0" applyFill="1" applyBorder="1" applyAlignment="1" applyProtection="1">
      <alignment vertical="center"/>
      <protection hidden="1"/>
    </xf>
    <xf numFmtId="0" fontId="139" fillId="18" borderId="0" xfId="0" applyFont="1" applyFill="1" applyAlignment="1" applyProtection="1">
      <alignment vertical="center"/>
      <protection hidden="1"/>
    </xf>
    <xf numFmtId="0" fontId="0" fillId="18" borderId="0" xfId="0" applyFill="1" applyAlignment="1" applyProtection="1">
      <alignment vertical="center"/>
      <protection hidden="1"/>
    </xf>
    <xf numFmtId="0" fontId="5" fillId="18" borderId="39" xfId="0" applyFont="1" applyFill="1" applyBorder="1" applyAlignment="1" applyProtection="1">
      <alignment vertical="center"/>
      <protection hidden="1"/>
    </xf>
    <xf numFmtId="0" fontId="2" fillId="18" borderId="20" xfId="0" applyFont="1" applyFill="1" applyBorder="1" applyAlignment="1" applyProtection="1">
      <alignment horizontal="center" vertical="center"/>
      <protection hidden="1"/>
    </xf>
    <xf numFmtId="0" fontId="51" fillId="18" borderId="15" xfId="0" applyFont="1" applyFill="1" applyBorder="1" applyAlignment="1" applyProtection="1">
      <alignment vertical="center"/>
      <protection hidden="1"/>
    </xf>
    <xf numFmtId="0" fontId="51" fillId="18" borderId="48" xfId="0" applyFont="1" applyFill="1" applyBorder="1" applyAlignment="1" applyProtection="1">
      <alignment vertical="center"/>
      <protection hidden="1"/>
    </xf>
    <xf numFmtId="0" fontId="5" fillId="18" borderId="0" xfId="0" applyFont="1" applyFill="1" applyBorder="1" applyAlignment="1" applyProtection="1">
      <alignment horizontal="left" vertical="center"/>
      <protection hidden="1"/>
    </xf>
    <xf numFmtId="0" fontId="10" fillId="18" borderId="0" xfId="0" applyFont="1" applyFill="1" applyBorder="1" applyAlignment="1" applyProtection="1">
      <alignment vertical="center"/>
      <protection hidden="1"/>
    </xf>
    <xf numFmtId="0" fontId="10" fillId="18" borderId="34" xfId="0" applyFont="1" applyFill="1" applyBorder="1" applyAlignment="1" applyProtection="1">
      <alignment horizontal="left" vertical="center"/>
      <protection hidden="1"/>
    </xf>
    <xf numFmtId="0" fontId="8" fillId="18" borderId="0" xfId="0" applyFont="1" applyFill="1" applyAlignment="1" applyProtection="1">
      <alignment vertical="center"/>
      <protection hidden="1"/>
    </xf>
    <xf numFmtId="0" fontId="3" fillId="18" borderId="0" xfId="0" applyFont="1" applyFill="1" applyBorder="1" applyAlignment="1" applyProtection="1">
      <alignment horizontal="left" vertical="center"/>
      <protection hidden="1"/>
    </xf>
    <xf numFmtId="0" fontId="3" fillId="18" borderId="3" xfId="0" applyNumberFormat="1" applyFont="1" applyFill="1" applyBorder="1" applyProtection="1">
      <protection hidden="1"/>
    </xf>
    <xf numFmtId="0" fontId="3" fillId="18" borderId="3" xfId="0" applyNumberFormat="1" applyFont="1" applyFill="1" applyBorder="1" applyAlignment="1" applyProtection="1">
      <alignment horizontal="center" vertical="center"/>
      <protection hidden="1"/>
    </xf>
    <xf numFmtId="0" fontId="10" fillId="18" borderId="9" xfId="0" applyFont="1" applyFill="1" applyBorder="1" applyAlignment="1" applyProtection="1">
      <alignment horizontal="left" vertical="center"/>
      <protection hidden="1"/>
    </xf>
    <xf numFmtId="0" fontId="24" fillId="18" borderId="0" xfId="0" applyFont="1" applyFill="1" applyAlignment="1" applyProtection="1">
      <alignment horizontal="left" vertical="center"/>
      <protection hidden="1"/>
    </xf>
    <xf numFmtId="0" fontId="3" fillId="18" borderId="5" xfId="0" applyNumberFormat="1" applyFont="1" applyFill="1" applyBorder="1" applyProtection="1">
      <protection hidden="1"/>
    </xf>
    <xf numFmtId="0" fontId="3" fillId="18" borderId="5" xfId="0" applyNumberFormat="1" applyFont="1" applyFill="1" applyBorder="1" applyAlignment="1" applyProtection="1">
      <alignment horizontal="center" vertical="center"/>
      <protection hidden="1"/>
    </xf>
    <xf numFmtId="0" fontId="3" fillId="18" borderId="49" xfId="0" applyFont="1" applyFill="1" applyBorder="1" applyAlignment="1" applyProtection="1">
      <alignment horizontal="center" vertical="center"/>
      <protection hidden="1"/>
    </xf>
    <xf numFmtId="0" fontId="10" fillId="18" borderId="21" xfId="0" applyFont="1" applyFill="1" applyBorder="1" applyAlignment="1" applyProtection="1">
      <alignment horizontal="left" vertical="center"/>
      <protection hidden="1"/>
    </xf>
    <xf numFmtId="0" fontId="3" fillId="18" borderId="48" xfId="0" applyFont="1" applyFill="1" applyBorder="1" applyAlignment="1" applyProtection="1">
      <alignment horizontal="left" vertical="center"/>
      <protection hidden="1"/>
    </xf>
    <xf numFmtId="0" fontId="3" fillId="18" borderId="146" xfId="0" applyFont="1" applyFill="1" applyBorder="1" applyAlignment="1" applyProtection="1">
      <alignment horizontal="center" vertical="center"/>
      <protection hidden="1"/>
    </xf>
    <xf numFmtId="0" fontId="10" fillId="18" borderId="131" xfId="0" applyFont="1" applyFill="1" applyBorder="1" applyAlignment="1" applyProtection="1">
      <alignment vertical="center"/>
      <protection hidden="1"/>
    </xf>
    <xf numFmtId="0" fontId="0" fillId="18" borderId="172" xfId="0" applyFill="1" applyBorder="1" applyAlignment="1" applyProtection="1">
      <alignment vertical="center"/>
      <protection hidden="1"/>
    </xf>
    <xf numFmtId="0" fontId="41" fillId="18" borderId="0" xfId="0" applyFont="1" applyFill="1" applyBorder="1" applyAlignment="1" applyProtection="1">
      <alignment vertical="center"/>
      <protection hidden="1"/>
    </xf>
    <xf numFmtId="0" fontId="2" fillId="18" borderId="31" xfId="0" applyFont="1" applyFill="1" applyBorder="1" applyAlignment="1" applyProtection="1">
      <alignment horizontal="center" vertical="center"/>
      <protection hidden="1"/>
    </xf>
    <xf numFmtId="0" fontId="51" fillId="18" borderId="21" xfId="0" applyFont="1" applyFill="1" applyBorder="1" applyAlignment="1" applyProtection="1">
      <alignment horizontal="left" vertical="center"/>
      <protection hidden="1"/>
    </xf>
    <xf numFmtId="0" fontId="3" fillId="18" borderId="32" xfId="0" applyFont="1" applyFill="1" applyBorder="1" applyAlignment="1" applyProtection="1">
      <alignment horizontal="left" vertical="center"/>
      <protection hidden="1"/>
    </xf>
    <xf numFmtId="0" fontId="10" fillId="18" borderId="24" xfId="0" applyFont="1" applyFill="1" applyBorder="1" applyAlignment="1" applyProtection="1">
      <alignment vertical="center"/>
      <protection hidden="1"/>
    </xf>
    <xf numFmtId="0" fontId="0" fillId="18" borderId="40" xfId="0" applyFill="1" applyBorder="1" applyAlignment="1" applyProtection="1">
      <alignment vertical="center"/>
      <protection hidden="1"/>
    </xf>
    <xf numFmtId="0" fontId="10" fillId="18" borderId="70" xfId="0" applyFont="1" applyFill="1" applyBorder="1" applyAlignment="1" applyProtection="1">
      <alignment vertical="center"/>
      <protection hidden="1"/>
    </xf>
    <xf numFmtId="0" fontId="3" fillId="18" borderId="132" xfId="0" applyFont="1" applyFill="1" applyBorder="1" applyAlignment="1" applyProtection="1">
      <alignment horizontal="left" vertical="center"/>
      <protection hidden="1"/>
    </xf>
    <xf numFmtId="0" fontId="58" fillId="18" borderId="0" xfId="0" applyFont="1" applyFill="1" applyBorder="1" applyAlignment="1" applyProtection="1">
      <alignment vertical="center"/>
      <protection hidden="1"/>
    </xf>
    <xf numFmtId="0" fontId="59" fillId="18" borderId="0" xfId="0" applyFont="1" applyFill="1" applyBorder="1" applyAlignment="1" applyProtection="1">
      <alignment horizontal="right" vertical="center"/>
      <protection hidden="1"/>
    </xf>
    <xf numFmtId="0" fontId="59" fillId="18" borderId="0" xfId="0" applyFont="1" applyFill="1" applyBorder="1" applyAlignment="1" applyProtection="1">
      <alignment horizontal="center" vertical="center"/>
      <protection hidden="1"/>
    </xf>
    <xf numFmtId="0" fontId="60" fillId="18" borderId="0" xfId="0" applyFont="1" applyFill="1" applyBorder="1" applyAlignment="1" applyProtection="1">
      <alignment horizontal="left" vertical="center"/>
      <protection hidden="1"/>
    </xf>
    <xf numFmtId="0" fontId="43" fillId="18" borderId="0" xfId="0" applyFont="1" applyFill="1" applyBorder="1" applyAlignment="1" applyProtection="1">
      <alignment vertical="center"/>
      <protection hidden="1"/>
    </xf>
    <xf numFmtId="0" fontId="10" fillId="18" borderId="9" xfId="0" applyFont="1" applyFill="1" applyBorder="1" applyAlignment="1" applyProtection="1">
      <alignment horizontal="center" vertical="center"/>
      <protection hidden="1"/>
    </xf>
    <xf numFmtId="0" fontId="10" fillId="18" borderId="33" xfId="0" applyFont="1" applyFill="1" applyBorder="1" applyAlignment="1" applyProtection="1">
      <alignment horizontal="left" vertical="center"/>
      <protection hidden="1"/>
    </xf>
    <xf numFmtId="0" fontId="3" fillId="18" borderId="0" xfId="0" applyFont="1" applyFill="1" applyBorder="1" applyAlignment="1" applyProtection="1">
      <alignment horizontal="right" vertical="center"/>
      <protection hidden="1"/>
    </xf>
    <xf numFmtId="0" fontId="3" fillId="18" borderId="0" xfId="0" applyFont="1" applyFill="1" applyBorder="1" applyAlignment="1" applyProtection="1">
      <alignment horizontal="center" vertical="center"/>
      <protection hidden="1"/>
    </xf>
    <xf numFmtId="0" fontId="43" fillId="18" borderId="0" xfId="0" applyFont="1" applyFill="1" applyBorder="1" applyAlignment="1" applyProtection="1">
      <alignment vertical="center" wrapText="1"/>
      <protection hidden="1"/>
    </xf>
    <xf numFmtId="0" fontId="3" fillId="18" borderId="8" xfId="0" applyNumberFormat="1" applyFont="1" applyFill="1" applyBorder="1" applyProtection="1">
      <protection hidden="1"/>
    </xf>
    <xf numFmtId="0" fontId="3" fillId="18" borderId="8" xfId="0" applyNumberFormat="1" applyFont="1" applyFill="1" applyBorder="1" applyAlignment="1" applyProtection="1">
      <alignment horizontal="center" vertical="center"/>
      <protection hidden="1"/>
    </xf>
    <xf numFmtId="0" fontId="10" fillId="18" borderId="14" xfId="0" applyFont="1" applyFill="1" applyBorder="1" applyAlignment="1" applyProtection="1">
      <alignment horizontal="left" vertical="center"/>
      <protection hidden="1"/>
    </xf>
    <xf numFmtId="0" fontId="3" fillId="18" borderId="7" xfId="0" applyFont="1" applyFill="1" applyBorder="1" applyAlignment="1" applyProtection="1">
      <alignment horizontal="center" vertical="center"/>
      <protection hidden="1"/>
    </xf>
    <xf numFmtId="0" fontId="3" fillId="18" borderId="0" xfId="0" applyFont="1" applyFill="1" applyBorder="1" applyAlignment="1" applyProtection="1">
      <alignment horizontal="center" vertical="center" wrapText="1"/>
      <protection hidden="1"/>
    </xf>
    <xf numFmtId="0" fontId="34" fillId="18" borderId="0" xfId="0" applyFont="1" applyFill="1" applyBorder="1" applyAlignment="1" applyProtection="1">
      <alignment horizontal="center" vertical="center"/>
      <protection hidden="1"/>
    </xf>
    <xf numFmtId="0" fontId="38" fillId="18" borderId="0" xfId="0" applyFont="1" applyFill="1" applyBorder="1" applyAlignment="1" applyProtection="1">
      <alignment vertical="center"/>
      <protection hidden="1"/>
    </xf>
    <xf numFmtId="0" fontId="41" fillId="18" borderId="0" xfId="0" applyFont="1" applyFill="1" applyBorder="1" applyAlignment="1" applyProtection="1">
      <alignment horizontal="center" vertical="center"/>
      <protection hidden="1"/>
    </xf>
    <xf numFmtId="0" fontId="3" fillId="18" borderId="170" xfId="0" applyFont="1" applyFill="1" applyBorder="1" applyAlignment="1" applyProtection="1">
      <alignment horizontal="right"/>
      <protection hidden="1"/>
    </xf>
    <xf numFmtId="0" fontId="3" fillId="18" borderId="146" xfId="0" applyFont="1" applyFill="1" applyBorder="1" applyAlignment="1" applyProtection="1">
      <alignment horizontal="center"/>
      <protection hidden="1"/>
    </xf>
    <xf numFmtId="0" fontId="3" fillId="18" borderId="131" xfId="0" applyFont="1" applyFill="1" applyBorder="1" applyAlignment="1" applyProtection="1">
      <protection hidden="1"/>
    </xf>
    <xf numFmtId="0" fontId="3" fillId="18" borderId="172" xfId="0" applyFont="1" applyFill="1" applyBorder="1" applyAlignment="1" applyProtection="1">
      <protection hidden="1"/>
    </xf>
    <xf numFmtId="0" fontId="99" fillId="18" borderId="24" xfId="0" applyFont="1" applyFill="1" applyBorder="1" applyAlignment="1" applyProtection="1">
      <alignment vertical="center"/>
      <protection hidden="1"/>
    </xf>
    <xf numFmtId="0" fontId="9" fillId="18" borderId="22" xfId="0" applyFont="1" applyFill="1" applyBorder="1" applyAlignment="1" applyProtection="1">
      <alignment horizontal="left" vertical="center"/>
      <protection hidden="1"/>
    </xf>
    <xf numFmtId="0" fontId="3" fillId="18" borderId="24" xfId="0" applyFont="1" applyFill="1" applyBorder="1" applyAlignment="1" applyProtection="1">
      <alignment horizontal="center" vertical="center" wrapText="1"/>
      <protection hidden="1"/>
    </xf>
    <xf numFmtId="0" fontId="0" fillId="18" borderId="24" xfId="0" applyFill="1" applyBorder="1" applyAlignment="1" applyProtection="1">
      <alignment vertical="center"/>
      <protection hidden="1"/>
    </xf>
    <xf numFmtId="0" fontId="12" fillId="18" borderId="0" xfId="0" applyFont="1" applyFill="1" applyBorder="1" applyAlignment="1" applyProtection="1">
      <alignment horizontal="center" vertical="top" wrapText="1"/>
      <protection hidden="1"/>
    </xf>
    <xf numFmtId="0" fontId="0" fillId="18" borderId="28" xfId="0" applyFill="1" applyBorder="1" applyAlignment="1" applyProtection="1">
      <alignment vertical="center"/>
      <protection hidden="1"/>
    </xf>
    <xf numFmtId="0" fontId="58" fillId="18" borderId="0" xfId="0" applyFont="1" applyFill="1" applyAlignment="1" applyProtection="1">
      <alignment horizontal="left" vertical="center"/>
      <protection hidden="1"/>
    </xf>
    <xf numFmtId="0" fontId="41" fillId="18" borderId="2" xfId="0" applyFont="1" applyFill="1" applyBorder="1" applyAlignment="1" applyProtection="1">
      <alignment horizontal="center" vertical="center"/>
      <protection hidden="1"/>
    </xf>
    <xf numFmtId="0" fontId="0" fillId="18" borderId="32" xfId="0" applyFill="1" applyBorder="1" applyAlignment="1" applyProtection="1">
      <alignment vertical="center"/>
      <protection hidden="1"/>
    </xf>
    <xf numFmtId="0" fontId="3" fillId="18" borderId="31" xfId="0" applyFont="1" applyFill="1" applyBorder="1" applyAlignment="1" applyProtection="1">
      <alignment horizontal="center" vertical="center"/>
      <protection hidden="1"/>
    </xf>
    <xf numFmtId="0" fontId="3" fillId="18" borderId="38" xfId="0" applyFont="1" applyFill="1" applyBorder="1" applyAlignment="1" applyProtection="1">
      <alignment horizontal="left" vertical="center"/>
      <protection hidden="1"/>
    </xf>
    <xf numFmtId="0" fontId="41" fillId="18" borderId="1" xfId="0" applyFont="1" applyFill="1" applyBorder="1" applyAlignment="1" applyProtection="1">
      <alignment horizontal="center" vertical="center"/>
      <protection hidden="1"/>
    </xf>
    <xf numFmtId="0" fontId="10" fillId="18" borderId="10" xfId="0" applyFont="1" applyFill="1" applyBorder="1" applyAlignment="1" applyProtection="1">
      <alignment horizontal="left" vertical="center"/>
      <protection hidden="1"/>
    </xf>
    <xf numFmtId="0" fontId="41" fillId="18" borderId="7" xfId="0" applyFont="1" applyFill="1" applyBorder="1" applyAlignment="1" applyProtection="1">
      <alignment horizontal="center" vertical="center"/>
      <protection hidden="1"/>
    </xf>
    <xf numFmtId="0" fontId="0" fillId="18" borderId="35" xfId="0" applyFill="1" applyBorder="1" applyAlignment="1" applyProtection="1">
      <alignment vertical="center"/>
      <protection hidden="1"/>
    </xf>
    <xf numFmtId="0" fontId="2" fillId="18" borderId="25" xfId="0" applyFont="1" applyFill="1" applyBorder="1" applyAlignment="1" applyProtection="1">
      <alignment horizontal="center" vertical="center"/>
      <protection hidden="1"/>
    </xf>
    <xf numFmtId="0" fontId="0" fillId="18" borderId="38" xfId="0" applyFill="1" applyBorder="1" applyAlignment="1" applyProtection="1">
      <alignment vertical="center"/>
      <protection hidden="1"/>
    </xf>
    <xf numFmtId="0" fontId="30" fillId="18" borderId="34" xfId="0" applyFont="1" applyFill="1" applyBorder="1" applyAlignment="1" applyProtection="1">
      <alignment horizontal="center" vertical="center"/>
      <protection hidden="1"/>
    </xf>
    <xf numFmtId="0" fontId="0" fillId="18" borderId="69" xfId="0" applyFill="1" applyBorder="1" applyAlignment="1" applyProtection="1">
      <alignment vertical="center"/>
      <protection hidden="1"/>
    </xf>
    <xf numFmtId="0" fontId="41" fillId="18" borderId="11" xfId="0" applyFont="1" applyFill="1" applyBorder="1" applyAlignment="1" applyProtection="1">
      <alignment horizontal="right" vertical="center"/>
      <protection hidden="1"/>
    </xf>
    <xf numFmtId="0" fontId="0" fillId="18" borderId="33" xfId="0" applyFill="1" applyBorder="1" applyAlignment="1" applyProtection="1">
      <alignment vertical="center"/>
      <protection hidden="1"/>
    </xf>
    <xf numFmtId="0" fontId="54" fillId="18" borderId="0" xfId="0" applyFont="1" applyFill="1" applyAlignment="1" applyProtection="1">
      <alignment horizontal="center" textRotation="90"/>
      <protection hidden="1"/>
    </xf>
    <xf numFmtId="0" fontId="2" fillId="18" borderId="0" xfId="0" applyFont="1" applyFill="1" applyBorder="1" applyAlignment="1" applyProtection="1">
      <alignment horizontal="left" vertical="center"/>
      <protection hidden="1"/>
    </xf>
    <xf numFmtId="0" fontId="3" fillId="18" borderId="51" xfId="0" applyFont="1" applyFill="1" applyBorder="1" applyAlignment="1" applyProtection="1">
      <alignment horizontal="center" vertical="center"/>
      <protection hidden="1"/>
    </xf>
    <xf numFmtId="0" fontId="3" fillId="18" borderId="52" xfId="0" applyFont="1" applyFill="1" applyBorder="1" applyAlignment="1" applyProtection="1">
      <alignment horizontal="left" vertical="center"/>
      <protection hidden="1"/>
    </xf>
    <xf numFmtId="0" fontId="3" fillId="18" borderId="54" xfId="0" applyFont="1" applyFill="1" applyBorder="1" applyAlignment="1" applyProtection="1">
      <alignment horizontal="left" vertical="center"/>
      <protection hidden="1"/>
    </xf>
    <xf numFmtId="0" fontId="3" fillId="18" borderId="3" xfId="0" applyFont="1" applyFill="1" applyBorder="1" applyAlignment="1" applyProtection="1">
      <alignment horizontal="left" vertical="center"/>
      <protection hidden="1"/>
    </xf>
    <xf numFmtId="0" fontId="3" fillId="18" borderId="21" xfId="0" applyFont="1" applyFill="1" applyBorder="1" applyAlignment="1" applyProtection="1">
      <alignment vertical="center"/>
      <protection hidden="1"/>
    </xf>
    <xf numFmtId="0" fontId="3" fillId="18" borderId="14" xfId="0" applyFont="1" applyFill="1" applyBorder="1" applyAlignment="1" applyProtection="1">
      <alignment horizontal="left" vertical="center"/>
      <protection hidden="1"/>
    </xf>
    <xf numFmtId="0" fontId="0" fillId="18" borderId="22" xfId="0" applyFill="1" applyBorder="1" applyAlignment="1" applyProtection="1">
      <alignment vertical="center"/>
      <protection hidden="1"/>
    </xf>
    <xf numFmtId="0" fontId="3" fillId="18" borderId="29" xfId="0" applyFont="1" applyFill="1" applyBorder="1" applyAlignment="1" applyProtection="1">
      <alignment horizontal="center" vertical="center"/>
      <protection hidden="1"/>
    </xf>
    <xf numFmtId="0" fontId="0" fillId="18" borderId="48" xfId="0" applyFill="1" applyBorder="1" applyAlignment="1" applyProtection="1">
      <alignment vertical="center"/>
      <protection hidden="1"/>
    </xf>
    <xf numFmtId="0" fontId="3" fillId="18" borderId="0" xfId="0" applyFont="1" applyFill="1" applyAlignment="1" applyProtection="1">
      <alignment vertical="center"/>
      <protection hidden="1"/>
    </xf>
    <xf numFmtId="0" fontId="14" fillId="18" borderId="55" xfId="0" applyFont="1" applyFill="1" applyBorder="1" applyAlignment="1" applyProtection="1">
      <alignment horizontal="center"/>
      <protection hidden="1"/>
    </xf>
    <xf numFmtId="0" fontId="51" fillId="18" borderId="56" xfId="0" applyFont="1" applyFill="1" applyBorder="1" applyAlignment="1" applyProtection="1">
      <alignment horizontal="left"/>
      <protection hidden="1"/>
    </xf>
    <xf numFmtId="0" fontId="14" fillId="18" borderId="57" xfId="0" applyFont="1" applyFill="1" applyBorder="1" applyAlignment="1" applyProtection="1">
      <alignment horizontal="left"/>
      <protection hidden="1"/>
    </xf>
    <xf numFmtId="0" fontId="1" fillId="18" borderId="0" xfId="0" applyFont="1" applyFill="1" applyAlignment="1" applyProtection="1">
      <alignment vertical="center"/>
      <protection hidden="1"/>
    </xf>
    <xf numFmtId="0" fontId="94" fillId="18" borderId="8" xfId="0" applyFont="1" applyFill="1" applyBorder="1" applyAlignment="1" applyProtection="1">
      <alignment horizontal="center" vertical="center"/>
      <protection hidden="1"/>
    </xf>
    <xf numFmtId="0" fontId="30" fillId="18" borderId="0" xfId="0" applyFont="1" applyFill="1" applyBorder="1" applyAlignment="1" applyProtection="1">
      <alignment horizontal="left" vertical="center"/>
      <protection hidden="1"/>
    </xf>
    <xf numFmtId="0" fontId="99" fillId="18" borderId="0" xfId="0" applyFont="1" applyFill="1" applyBorder="1" applyAlignment="1" applyProtection="1">
      <alignment vertical="center"/>
      <protection hidden="1"/>
    </xf>
    <xf numFmtId="0" fontId="14" fillId="18" borderId="0" xfId="0" applyFont="1" applyFill="1" applyBorder="1" applyAlignment="1" applyProtection="1">
      <alignment horizontal="right" vertical="center"/>
      <protection hidden="1"/>
    </xf>
    <xf numFmtId="0" fontId="36" fillId="18" borderId="0" xfId="0" applyFont="1" applyFill="1" applyAlignment="1" applyProtection="1">
      <alignment horizontal="left" vertical="center"/>
      <protection hidden="1"/>
    </xf>
    <xf numFmtId="0" fontId="86" fillId="18" borderId="0" xfId="0" applyFont="1" applyFill="1" applyBorder="1" applyAlignment="1" applyProtection="1">
      <alignment vertical="center"/>
      <protection hidden="1"/>
    </xf>
    <xf numFmtId="0" fontId="3" fillId="18" borderId="0" xfId="0" applyFont="1" applyFill="1" applyBorder="1" applyAlignment="1" applyProtection="1">
      <alignment textRotation="90"/>
      <protection hidden="1"/>
    </xf>
    <xf numFmtId="0" fontId="30" fillId="18" borderId="0" xfId="0" applyFont="1" applyFill="1" applyBorder="1" applyAlignment="1" applyProtection="1">
      <alignment horizontal="center" vertical="center"/>
      <protection hidden="1"/>
    </xf>
    <xf numFmtId="0" fontId="13" fillId="18" borderId="32" xfId="0" applyFont="1" applyFill="1" applyBorder="1" applyAlignment="1" applyProtection="1">
      <alignment horizontal="left" vertical="center"/>
      <protection hidden="1"/>
    </xf>
    <xf numFmtId="0" fontId="37" fillId="18" borderId="0" xfId="0" applyFont="1" applyFill="1" applyBorder="1" applyAlignment="1" applyProtection="1">
      <alignment horizontal="left" vertical="center"/>
      <protection hidden="1"/>
    </xf>
    <xf numFmtId="0" fontId="54" fillId="18" borderId="0" xfId="0" applyFont="1" applyFill="1" applyAlignment="1" applyProtection="1">
      <alignment horizontal="left"/>
      <protection hidden="1"/>
    </xf>
    <xf numFmtId="0" fontId="13" fillId="18" borderId="35" xfId="0" applyFont="1" applyFill="1" applyBorder="1" applyAlignment="1" applyProtection="1">
      <alignment horizontal="left" vertical="center"/>
      <protection hidden="1"/>
    </xf>
    <xf numFmtId="0" fontId="30" fillId="18" borderId="0" xfId="0" applyFont="1" applyFill="1" applyBorder="1" applyAlignment="1" applyProtection="1">
      <alignment horizontal="left"/>
      <protection hidden="1"/>
    </xf>
    <xf numFmtId="0" fontId="1" fillId="18" borderId="0" xfId="0" applyFont="1" applyFill="1" applyBorder="1" applyAlignment="1" applyProtection="1">
      <protection hidden="1"/>
    </xf>
    <xf numFmtId="0" fontId="96" fillId="18" borderId="0" xfId="0" applyFont="1" applyFill="1" applyBorder="1" applyAlignment="1" applyProtection="1">
      <alignment vertical="center"/>
      <protection hidden="1"/>
    </xf>
    <xf numFmtId="0" fontId="9" fillId="18" borderId="0" xfId="0" applyFont="1" applyFill="1" applyBorder="1" applyAlignment="1" applyProtection="1">
      <alignment horizontal="left" vertical="center"/>
      <protection hidden="1"/>
    </xf>
    <xf numFmtId="0" fontId="9" fillId="18" borderId="0" xfId="0" applyFont="1" applyFill="1" applyBorder="1" applyAlignment="1" applyProtection="1">
      <alignment vertical="center"/>
      <protection hidden="1"/>
    </xf>
    <xf numFmtId="0" fontId="10" fillId="18" borderId="17" xfId="0" applyFont="1" applyFill="1" applyBorder="1" applyAlignment="1" applyProtection="1">
      <alignment vertical="center"/>
      <protection hidden="1"/>
    </xf>
    <xf numFmtId="0" fontId="10" fillId="18" borderId="48" xfId="0" applyFont="1" applyFill="1" applyBorder="1" applyAlignment="1" applyProtection="1">
      <alignment horizontal="left" vertical="center"/>
      <protection hidden="1"/>
    </xf>
    <xf numFmtId="0" fontId="3" fillId="18" borderId="6" xfId="0" applyFont="1" applyFill="1" applyBorder="1" applyAlignment="1" applyProtection="1">
      <alignment horizontal="center" vertical="center"/>
      <protection hidden="1"/>
    </xf>
    <xf numFmtId="0" fontId="97" fillId="18" borderId="38" xfId="0" applyFont="1" applyFill="1" applyBorder="1" applyAlignment="1" applyProtection="1">
      <alignment vertical="center"/>
      <protection hidden="1"/>
    </xf>
    <xf numFmtId="0" fontId="61" fillId="18" borderId="0" xfId="0" applyFont="1" applyFill="1" applyBorder="1" applyAlignment="1" applyProtection="1">
      <alignment horizontal="left" vertical="center"/>
      <protection hidden="1"/>
    </xf>
    <xf numFmtId="0" fontId="23" fillId="18" borderId="33" xfId="0" applyFont="1" applyFill="1" applyBorder="1" applyAlignment="1" applyProtection="1">
      <alignment horizontal="left" vertical="center"/>
      <protection hidden="1"/>
    </xf>
    <xf numFmtId="0" fontId="12" fillId="18" borderId="0" xfId="0" applyFont="1" applyFill="1" applyBorder="1" applyAlignment="1" applyProtection="1">
      <alignment horizontal="left" vertical="center"/>
      <protection hidden="1"/>
    </xf>
    <xf numFmtId="0" fontId="10" fillId="18" borderId="6" xfId="0" applyFont="1" applyFill="1" applyBorder="1" applyAlignment="1" applyProtection="1">
      <alignment horizontal="center" vertical="center"/>
      <protection hidden="1"/>
    </xf>
    <xf numFmtId="0" fontId="10" fillId="18" borderId="0" xfId="0" applyFont="1" applyFill="1" applyBorder="1" applyAlignment="1" applyProtection="1">
      <alignment horizontal="right" vertical="center"/>
      <protection hidden="1"/>
    </xf>
    <xf numFmtId="0" fontId="3" fillId="18" borderId="0" xfId="0" applyNumberFormat="1" applyFont="1" applyFill="1" applyBorder="1" applyAlignment="1" applyProtection="1">
      <alignment horizontal="center" vertical="center"/>
      <protection hidden="1"/>
    </xf>
    <xf numFmtId="0" fontId="3" fillId="18" borderId="0" xfId="0" applyNumberFormat="1" applyFont="1" applyFill="1" applyBorder="1" applyAlignment="1" applyProtection="1">
      <alignment horizontal="left" vertical="center"/>
      <protection hidden="1"/>
    </xf>
    <xf numFmtId="0" fontId="9" fillId="18" borderId="0" xfId="0" applyFont="1" applyFill="1" applyBorder="1" applyProtection="1">
      <protection hidden="1"/>
    </xf>
    <xf numFmtId="0" fontId="10" fillId="18" borderId="12" xfId="0" applyFont="1" applyFill="1" applyBorder="1" applyAlignment="1" applyProtection="1">
      <alignment horizontal="center" vertical="center"/>
      <protection hidden="1"/>
    </xf>
    <xf numFmtId="0" fontId="3" fillId="18" borderId="0" xfId="0" applyNumberFormat="1" applyFont="1" applyFill="1" applyBorder="1" applyProtection="1">
      <protection hidden="1"/>
    </xf>
    <xf numFmtId="0" fontId="9" fillId="18" borderId="0" xfId="0" applyNumberFormat="1" applyFont="1" applyFill="1" applyBorder="1" applyAlignment="1" applyProtection="1">
      <alignment horizontal="left" vertical="center"/>
      <protection hidden="1"/>
    </xf>
    <xf numFmtId="0" fontId="65" fillId="18" borderId="0" xfId="0" applyFont="1" applyFill="1" applyBorder="1" applyAlignment="1" applyProtection="1">
      <alignment vertical="center" wrapText="1"/>
      <protection hidden="1"/>
    </xf>
    <xf numFmtId="0" fontId="10" fillId="18" borderId="0" xfId="0" applyFont="1" applyFill="1" applyBorder="1" applyAlignment="1" applyProtection="1">
      <alignment vertical="center" wrapText="1"/>
      <protection hidden="1"/>
    </xf>
    <xf numFmtId="0" fontId="5" fillId="18" borderId="9" xfId="0" applyFont="1" applyFill="1" applyBorder="1" applyAlignment="1" applyProtection="1">
      <alignment horizontal="left" vertical="center"/>
      <protection hidden="1"/>
    </xf>
    <xf numFmtId="0" fontId="23" fillId="18" borderId="32" xfId="0" applyFont="1" applyFill="1" applyBorder="1" applyAlignment="1" applyProtection="1">
      <alignment horizontal="left" vertical="center"/>
      <protection hidden="1"/>
    </xf>
    <xf numFmtId="0" fontId="2" fillId="18" borderId="19" xfId="0" applyFont="1" applyFill="1" applyBorder="1" applyAlignment="1" applyProtection="1">
      <alignment horizontal="center" vertical="center"/>
      <protection hidden="1"/>
    </xf>
    <xf numFmtId="0" fontId="4" fillId="18" borderId="0" xfId="0" applyFont="1" applyFill="1" applyBorder="1" applyAlignment="1" applyProtection="1">
      <alignment vertical="center"/>
      <protection hidden="1"/>
    </xf>
    <xf numFmtId="0" fontId="4" fillId="18" borderId="0" xfId="0" applyFont="1" applyFill="1" applyBorder="1" applyAlignment="1" applyProtection="1">
      <alignment horizontal="right" vertical="center"/>
      <protection hidden="1"/>
    </xf>
    <xf numFmtId="0" fontId="12" fillId="18" borderId="0" xfId="0" applyFont="1" applyFill="1" applyBorder="1" applyAlignment="1" applyProtection="1">
      <alignment horizontal="left"/>
      <protection hidden="1"/>
    </xf>
    <xf numFmtId="0" fontId="2" fillId="18" borderId="11" xfId="0" applyFont="1" applyFill="1" applyBorder="1" applyAlignment="1" applyProtection="1">
      <alignment horizontal="center" vertical="center"/>
      <protection hidden="1"/>
    </xf>
    <xf numFmtId="0" fontId="5" fillId="18" borderId="0" xfId="0" applyFont="1" applyFill="1" applyBorder="1" applyAlignment="1" applyProtection="1">
      <alignment horizontal="right" textRotation="90" wrapText="1"/>
      <protection hidden="1"/>
    </xf>
    <xf numFmtId="164" fontId="2" fillId="18" borderId="19" xfId="0" applyNumberFormat="1" applyFont="1" applyFill="1" applyBorder="1" applyAlignment="1" applyProtection="1">
      <alignment horizontal="center" vertical="center"/>
      <protection hidden="1"/>
    </xf>
    <xf numFmtId="0" fontId="30" fillId="18" borderId="14" xfId="0" applyFont="1" applyFill="1" applyBorder="1" applyAlignment="1" applyProtection="1">
      <alignment horizontal="left" vertical="center"/>
      <protection hidden="1"/>
    </xf>
    <xf numFmtId="0" fontId="2" fillId="18" borderId="38" xfId="0" applyFont="1" applyFill="1" applyBorder="1" applyAlignment="1" applyProtection="1">
      <alignment horizontal="left" vertical="center"/>
      <protection hidden="1"/>
    </xf>
    <xf numFmtId="0" fontId="12" fillId="18" borderId="0" xfId="0" applyFont="1" applyFill="1" applyBorder="1" applyAlignment="1" applyProtection="1">
      <alignment horizontal="center" vertical="center" wrapText="1"/>
      <protection hidden="1"/>
    </xf>
    <xf numFmtId="0" fontId="5" fillId="18" borderId="0" xfId="0" applyFont="1" applyFill="1" applyBorder="1" applyAlignment="1" applyProtection="1">
      <alignment horizontal="center" vertical="center"/>
      <protection hidden="1"/>
    </xf>
    <xf numFmtId="164" fontId="2" fillId="18" borderId="60" xfId="0" applyNumberFormat="1" applyFont="1" applyFill="1" applyBorder="1" applyAlignment="1" applyProtection="1">
      <alignment horizontal="center" vertical="center"/>
      <protection hidden="1"/>
    </xf>
    <xf numFmtId="0" fontId="30" fillId="18" borderId="41" xfId="0" applyFont="1" applyFill="1" applyBorder="1" applyAlignment="1" applyProtection="1">
      <alignment horizontal="left" vertical="center"/>
      <protection hidden="1"/>
    </xf>
    <xf numFmtId="0" fontId="2" fillId="18" borderId="142" xfId="0" applyFont="1" applyFill="1" applyBorder="1" applyAlignment="1" applyProtection="1">
      <alignment horizontal="left" vertical="center"/>
      <protection hidden="1"/>
    </xf>
    <xf numFmtId="0" fontId="13" fillId="18" borderId="0" xfId="0" applyFont="1" applyFill="1" applyBorder="1" applyAlignment="1" applyProtection="1">
      <alignment horizontal="center" vertical="center"/>
      <protection hidden="1"/>
    </xf>
    <xf numFmtId="0" fontId="13" fillId="18" borderId="0" xfId="0" applyFont="1" applyFill="1" applyBorder="1" applyAlignment="1" applyProtection="1">
      <alignment horizontal="left" vertical="center"/>
      <protection hidden="1"/>
    </xf>
    <xf numFmtId="0" fontId="3" fillId="18" borderId="189" xfId="0" applyFont="1" applyFill="1" applyBorder="1" applyAlignment="1" applyProtection="1">
      <alignment horizontal="center" vertical="center"/>
      <protection hidden="1"/>
    </xf>
    <xf numFmtId="0" fontId="3" fillId="18" borderId="140" xfId="0" applyFont="1" applyFill="1" applyBorder="1" applyAlignment="1" applyProtection="1">
      <alignment vertical="center"/>
      <protection hidden="1"/>
    </xf>
    <xf numFmtId="0" fontId="0" fillId="18" borderId="175" xfId="0" applyFill="1" applyBorder="1" applyAlignment="1" applyProtection="1">
      <alignment vertical="center"/>
      <protection hidden="1"/>
    </xf>
    <xf numFmtId="0" fontId="10" fillId="18" borderId="0" xfId="0" applyFont="1" applyFill="1" applyBorder="1" applyAlignment="1" applyProtection="1">
      <alignment horizontal="right" textRotation="90"/>
      <protection hidden="1"/>
    </xf>
    <xf numFmtId="0" fontId="8" fillId="18" borderId="0" xfId="0" applyFont="1" applyFill="1" applyBorder="1" applyAlignment="1" applyProtection="1">
      <alignment vertical="center"/>
      <protection hidden="1"/>
    </xf>
    <xf numFmtId="0" fontId="4" fillId="18" borderId="0" xfId="0" applyFont="1" applyFill="1" applyBorder="1" applyAlignment="1" applyProtection="1">
      <alignment horizontal="center" vertical="center"/>
      <protection hidden="1"/>
    </xf>
    <xf numFmtId="0" fontId="0" fillId="18" borderId="13" xfId="0" applyFill="1" applyBorder="1" applyAlignment="1" applyProtection="1">
      <alignment vertical="center"/>
      <protection hidden="1"/>
    </xf>
    <xf numFmtId="0" fontId="2" fillId="18" borderId="0" xfId="0" applyFont="1" applyFill="1" applyBorder="1" applyAlignment="1" applyProtection="1">
      <alignment horizontal="right" vertical="center"/>
      <protection hidden="1"/>
    </xf>
    <xf numFmtId="0" fontId="30" fillId="18" borderId="0" xfId="0" applyFont="1" applyFill="1" applyBorder="1" applyAlignment="1" applyProtection="1">
      <alignment horizontal="center" vertical="center" wrapText="1"/>
      <protection hidden="1"/>
    </xf>
    <xf numFmtId="0" fontId="0" fillId="18" borderId="23" xfId="0" applyFill="1" applyBorder="1" applyAlignment="1" applyProtection="1">
      <alignment vertical="center"/>
      <protection hidden="1"/>
    </xf>
    <xf numFmtId="0" fontId="2" fillId="0" borderId="0" xfId="0" applyFont="1" applyFill="1" applyBorder="1" applyAlignment="1" applyProtection="1">
      <alignment horizontal="right" vertical="center"/>
      <protection hidden="1"/>
    </xf>
    <xf numFmtId="49" fontId="16" fillId="17" borderId="47" xfId="0" applyNumberFormat="1" applyFont="1" applyFill="1" applyBorder="1" applyAlignment="1" applyProtection="1">
      <alignment horizontal="right" vertical="center"/>
      <protection hidden="1"/>
    </xf>
    <xf numFmtId="0" fontId="159" fillId="7" borderId="0" xfId="0" applyFont="1" applyFill="1" applyBorder="1" applyAlignment="1" applyProtection="1">
      <alignment vertical="center"/>
      <protection hidden="1"/>
    </xf>
    <xf numFmtId="0" fontId="123" fillId="7" borderId="0" xfId="0" applyFont="1" applyFill="1" applyBorder="1" applyAlignment="1" applyProtection="1">
      <alignment horizontal="right" vertical="center"/>
      <protection hidden="1"/>
    </xf>
    <xf numFmtId="0" fontId="126" fillId="7" borderId="0" xfId="0" applyFont="1" applyFill="1" applyBorder="1" applyAlignment="1" applyProtection="1">
      <alignment horizontal="center" vertical="center"/>
      <protection hidden="1"/>
    </xf>
    <xf numFmtId="0" fontId="126" fillId="7" borderId="0" xfId="0" applyFont="1" applyFill="1" applyBorder="1" applyAlignment="1" applyProtection="1">
      <alignment horizontal="left" vertical="center"/>
      <protection hidden="1"/>
    </xf>
    <xf numFmtId="0" fontId="157" fillId="7" borderId="0" xfId="0" applyFont="1" applyFill="1" applyBorder="1" applyAlignment="1" applyProtection="1">
      <alignment vertical="center"/>
      <protection hidden="1"/>
    </xf>
    <xf numFmtId="0" fontId="140" fillId="7" borderId="0" xfId="0" applyFont="1" applyFill="1" applyBorder="1" applyAlignment="1" applyProtection="1">
      <alignment vertical="center" wrapText="1"/>
      <protection hidden="1"/>
    </xf>
    <xf numFmtId="0" fontId="152" fillId="18" borderId="49" xfId="0" applyFont="1" applyFill="1" applyBorder="1" applyAlignment="1" applyProtection="1">
      <alignment horizontal="right" vertical="center"/>
      <protection hidden="1"/>
    </xf>
    <xf numFmtId="1" fontId="152" fillId="18" borderId="49" xfId="0" applyNumberFormat="1" applyFont="1" applyFill="1" applyBorder="1" applyAlignment="1" applyProtection="1">
      <alignment horizontal="center" vertical="center"/>
      <protection hidden="1"/>
    </xf>
    <xf numFmtId="0" fontId="152" fillId="18" borderId="49" xfId="0" applyFont="1" applyFill="1" applyBorder="1" applyAlignment="1" applyProtection="1">
      <alignment horizontal="left" vertical="center"/>
      <protection hidden="1"/>
    </xf>
    <xf numFmtId="0" fontId="104" fillId="18" borderId="49" xfId="0" applyFont="1" applyFill="1" applyBorder="1" applyAlignment="1" applyProtection="1">
      <alignment horizontal="left" vertical="center"/>
      <protection hidden="1"/>
    </xf>
    <xf numFmtId="0" fontId="152" fillId="18" borderId="0" xfId="0" applyFont="1" applyFill="1" applyBorder="1" applyAlignment="1" applyProtection="1">
      <alignment horizontal="right" vertical="center"/>
      <protection hidden="1"/>
    </xf>
    <xf numFmtId="1" fontId="152" fillId="18" borderId="24" xfId="0" applyNumberFormat="1" applyFont="1" applyFill="1" applyBorder="1" applyAlignment="1" applyProtection="1">
      <alignment horizontal="center" vertical="center"/>
      <protection hidden="1"/>
    </xf>
    <xf numFmtId="0" fontId="152" fillId="18" borderId="24" xfId="0" applyFont="1" applyFill="1" applyBorder="1" applyAlignment="1" applyProtection="1">
      <alignment horizontal="left" vertical="center"/>
      <protection hidden="1"/>
    </xf>
    <xf numFmtId="0" fontId="104" fillId="18" borderId="24" xfId="0" applyFont="1" applyFill="1" applyBorder="1" applyAlignment="1" applyProtection="1">
      <alignment horizontal="left" vertical="center"/>
      <protection hidden="1"/>
    </xf>
    <xf numFmtId="0" fontId="152" fillId="18" borderId="49" xfId="0" applyNumberFormat="1" applyFont="1" applyFill="1" applyBorder="1" applyAlignment="1" applyProtection="1">
      <alignment horizontal="center" vertical="center"/>
      <protection hidden="1"/>
    </xf>
    <xf numFmtId="164" fontId="152" fillId="18" borderId="24" xfId="0" applyNumberFormat="1" applyFont="1" applyFill="1" applyBorder="1" applyAlignment="1" applyProtection="1">
      <alignment horizontal="center" vertical="center"/>
      <protection hidden="1"/>
    </xf>
    <xf numFmtId="0" fontId="152" fillId="18" borderId="24" xfId="0" applyFont="1" applyFill="1" applyBorder="1" applyAlignment="1" applyProtection="1">
      <alignment vertical="center"/>
      <protection hidden="1"/>
    </xf>
    <xf numFmtId="0" fontId="9" fillId="18" borderId="24" xfId="0" applyFont="1" applyFill="1" applyBorder="1" applyAlignment="1" applyProtection="1">
      <alignment vertical="center"/>
      <protection hidden="1"/>
    </xf>
    <xf numFmtId="164" fontId="152" fillId="18" borderId="0" xfId="0" applyNumberFormat="1" applyFont="1" applyFill="1" applyBorder="1" applyAlignment="1" applyProtection="1">
      <alignment horizontal="center" vertical="center"/>
      <protection hidden="1"/>
    </xf>
    <xf numFmtId="0" fontId="99" fillId="18" borderId="49" xfId="0" applyFont="1" applyFill="1" applyBorder="1" applyAlignment="1" applyProtection="1">
      <alignment vertical="center"/>
      <protection hidden="1"/>
    </xf>
    <xf numFmtId="0" fontId="123" fillId="7" borderId="24" xfId="0" applyFont="1" applyFill="1" applyBorder="1" applyAlignment="1" applyProtection="1">
      <alignment horizontal="right" vertical="center"/>
      <protection hidden="1"/>
    </xf>
    <xf numFmtId="0" fontId="10" fillId="7" borderId="24" xfId="0" applyFont="1" applyFill="1" applyBorder="1" applyAlignment="1" applyProtection="1">
      <alignment horizontal="center" vertical="center"/>
      <protection hidden="1"/>
    </xf>
    <xf numFmtId="0" fontId="10" fillId="7" borderId="24" xfId="0" applyFont="1" applyFill="1" applyBorder="1" applyAlignment="1" applyProtection="1">
      <alignment horizontal="left" vertical="center"/>
      <protection hidden="1"/>
    </xf>
    <xf numFmtId="0" fontId="123" fillId="7" borderId="24" xfId="0" applyFont="1" applyFill="1" applyBorder="1" applyAlignment="1" applyProtection="1">
      <alignment horizontal="center" vertical="center"/>
      <protection hidden="1"/>
    </xf>
    <xf numFmtId="0" fontId="123" fillId="7" borderId="24" xfId="0" applyFont="1" applyFill="1" applyBorder="1" applyAlignment="1" applyProtection="1">
      <alignment horizontal="left" vertical="center"/>
      <protection hidden="1"/>
    </xf>
    <xf numFmtId="0" fontId="124" fillId="7" borderId="24" xfId="0" applyFont="1" applyFill="1" applyBorder="1" applyAlignment="1" applyProtection="1">
      <alignment vertical="center"/>
      <protection hidden="1"/>
    </xf>
    <xf numFmtId="0" fontId="165" fillId="0" borderId="0" xfId="0" applyFont="1" applyBorder="1" applyAlignment="1" applyProtection="1">
      <alignment horizontal="left" vertical="center"/>
      <protection hidden="1"/>
    </xf>
    <xf numFmtId="0" fontId="165" fillId="0" borderId="0" xfId="0" applyFont="1" applyFill="1" applyBorder="1" applyAlignment="1" applyProtection="1">
      <alignment vertical="center"/>
      <protection hidden="1"/>
    </xf>
    <xf numFmtId="0" fontId="17" fillId="0" borderId="263" xfId="0" applyFont="1" applyFill="1" applyBorder="1" applyAlignment="1" applyProtection="1">
      <alignment horizontal="right" vertical="center"/>
      <protection hidden="1"/>
    </xf>
    <xf numFmtId="0" fontId="162" fillId="18" borderId="4" xfId="0" applyFont="1" applyFill="1" applyBorder="1" applyAlignment="1" applyProtection="1">
      <alignment vertical="center"/>
      <protection hidden="1"/>
    </xf>
    <xf numFmtId="0" fontId="162" fillId="18" borderId="13" xfId="0" applyFont="1" applyFill="1" applyBorder="1" applyAlignment="1" applyProtection="1">
      <alignment vertical="center"/>
      <protection hidden="1"/>
    </xf>
    <xf numFmtId="0" fontId="162" fillId="18" borderId="23" xfId="0" applyFont="1" applyFill="1" applyBorder="1" applyAlignment="1" applyProtection="1">
      <alignment vertical="center"/>
      <protection hidden="1"/>
    </xf>
    <xf numFmtId="0" fontId="103" fillId="18" borderId="4" xfId="0" applyFont="1" applyFill="1" applyBorder="1" applyAlignment="1" applyProtection="1">
      <alignment horizontal="right" vertical="center"/>
      <protection hidden="1"/>
    </xf>
    <xf numFmtId="0" fontId="103" fillId="18" borderId="13" xfId="0" applyFont="1" applyFill="1" applyBorder="1" applyAlignment="1" applyProtection="1">
      <alignment horizontal="right" vertical="center"/>
      <protection hidden="1"/>
    </xf>
    <xf numFmtId="0" fontId="103" fillId="18" borderId="13" xfId="0" applyFont="1" applyFill="1" applyBorder="1" applyAlignment="1" applyProtection="1">
      <alignment vertical="center"/>
      <protection hidden="1"/>
    </xf>
    <xf numFmtId="0" fontId="103" fillId="18" borderId="23" xfId="0" applyFont="1" applyFill="1" applyBorder="1" applyAlignment="1" applyProtection="1">
      <alignment vertical="center"/>
      <protection hidden="1"/>
    </xf>
    <xf numFmtId="0" fontId="161" fillId="18" borderId="4" xfId="0" applyFont="1" applyFill="1" applyBorder="1" applyAlignment="1" applyProtection="1">
      <alignment vertical="center"/>
      <protection hidden="1"/>
    </xf>
    <xf numFmtId="0" fontId="161" fillId="18" borderId="13" xfId="0" applyFont="1" applyFill="1" applyBorder="1" applyAlignment="1" applyProtection="1">
      <alignment vertical="center"/>
      <protection hidden="1"/>
    </xf>
    <xf numFmtId="0" fontId="161" fillId="18" borderId="23" xfId="0" applyFont="1" applyFill="1" applyBorder="1" applyAlignment="1" applyProtection="1">
      <alignment vertical="center"/>
      <protection hidden="1"/>
    </xf>
    <xf numFmtId="0" fontId="104" fillId="0" borderId="19" xfId="0" applyFont="1" applyFill="1" applyBorder="1" applyAlignment="1" applyProtection="1">
      <alignment horizontal="right" vertical="center" wrapText="1"/>
      <protection locked="0"/>
    </xf>
    <xf numFmtId="0" fontId="104" fillId="0" borderId="135" xfId="0" applyFont="1" applyFill="1" applyBorder="1" applyAlignment="1" applyProtection="1">
      <alignment vertical="center" wrapText="1"/>
      <protection locked="0"/>
    </xf>
    <xf numFmtId="0" fontId="104" fillId="0" borderId="6" xfId="0" applyFont="1" applyFill="1" applyBorder="1" applyAlignment="1" applyProtection="1">
      <alignment vertical="center" wrapText="1"/>
      <protection locked="0"/>
    </xf>
    <xf numFmtId="0" fontId="104" fillId="0" borderId="12" xfId="0" applyFont="1" applyFill="1" applyBorder="1" applyAlignment="1" applyProtection="1">
      <alignment vertical="center" wrapText="1"/>
      <protection locked="0"/>
    </xf>
    <xf numFmtId="0" fontId="104" fillId="0" borderId="11" xfId="0" applyFont="1" applyBorder="1" applyAlignment="1" applyProtection="1">
      <alignment vertical="center"/>
      <protection locked="0"/>
    </xf>
    <xf numFmtId="0" fontId="112" fillId="0" borderId="58" xfId="0" applyFont="1" applyFill="1" applyBorder="1" applyAlignment="1" applyProtection="1">
      <alignment vertical="center"/>
      <protection hidden="1"/>
    </xf>
    <xf numFmtId="0" fontId="112" fillId="0" borderId="0" xfId="0" applyFont="1" applyFill="1" applyBorder="1" applyAlignment="1" applyProtection="1">
      <alignment vertical="center"/>
      <protection hidden="1"/>
    </xf>
    <xf numFmtId="0" fontId="110" fillId="0" borderId="0" xfId="0" applyFont="1" applyFill="1" applyBorder="1" applyAlignment="1" applyProtection="1">
      <alignment vertical="center"/>
      <protection hidden="1"/>
    </xf>
    <xf numFmtId="0" fontId="4" fillId="0" borderId="0" xfId="0" applyFont="1" applyFill="1" applyBorder="1" applyAlignment="1" applyProtection="1">
      <alignment horizontal="left" vertical="center" wrapText="1"/>
      <protection hidden="1"/>
    </xf>
    <xf numFmtId="0" fontId="10" fillId="0" borderId="58" xfId="0" applyFont="1" applyFill="1" applyBorder="1" applyAlignment="1" applyProtection="1">
      <alignment horizontal="right" vertical="center"/>
      <protection hidden="1"/>
    </xf>
    <xf numFmtId="0" fontId="0" fillId="0" borderId="58" xfId="0" applyFill="1" applyBorder="1" applyAlignment="1" applyProtection="1">
      <alignment vertical="center"/>
      <protection hidden="1"/>
    </xf>
    <xf numFmtId="0" fontId="155" fillId="0" borderId="5" xfId="0" applyFont="1" applyFill="1" applyBorder="1" applyAlignment="1" applyProtection="1">
      <alignment horizontal="right" vertical="center"/>
      <protection hidden="1"/>
    </xf>
    <xf numFmtId="0" fontId="105" fillId="0" borderId="5" xfId="0" applyFont="1" applyFill="1" applyBorder="1" applyAlignment="1" applyProtection="1">
      <alignment vertical="center"/>
      <protection hidden="1"/>
    </xf>
    <xf numFmtId="0" fontId="105" fillId="0" borderId="5" xfId="0" applyFont="1" applyFill="1" applyBorder="1" applyAlignment="1" applyProtection="1">
      <alignment horizontal="left" vertical="center"/>
      <protection hidden="1"/>
    </xf>
    <xf numFmtId="0" fontId="99" fillId="0" borderId="0" xfId="0" applyFont="1" applyFill="1" applyBorder="1" applyAlignment="1" applyProtection="1">
      <alignment horizontal="center" vertical="center"/>
      <protection hidden="1"/>
    </xf>
    <xf numFmtId="174" fontId="13" fillId="13" borderId="2" xfId="0" applyNumberFormat="1" applyFont="1" applyFill="1" applyBorder="1" applyAlignment="1" applyProtection="1">
      <alignment horizontal="center" vertical="center"/>
      <protection locked="0"/>
    </xf>
    <xf numFmtId="0" fontId="72" fillId="7" borderId="265" xfId="0" applyFont="1" applyFill="1" applyBorder="1" applyAlignment="1" applyProtection="1">
      <alignment horizontal="center"/>
      <protection hidden="1"/>
    </xf>
    <xf numFmtId="0" fontId="158" fillId="7" borderId="21" xfId="0" applyFont="1" applyFill="1" applyBorder="1" applyAlignment="1" applyProtection="1">
      <alignment horizontal="center" vertical="center"/>
      <protection hidden="1"/>
    </xf>
    <xf numFmtId="0" fontId="158" fillId="7" borderId="19" xfId="0" applyFont="1" applyFill="1" applyBorder="1" applyAlignment="1" applyProtection="1">
      <alignment horizontal="center" vertical="center"/>
      <protection hidden="1"/>
    </xf>
    <xf numFmtId="49" fontId="158" fillId="7" borderId="21" xfId="0" applyNumberFormat="1" applyFont="1" applyFill="1" applyBorder="1" applyAlignment="1" applyProtection="1">
      <alignment horizontal="center" vertical="center"/>
      <protection hidden="1"/>
    </xf>
    <xf numFmtId="0" fontId="158" fillId="7" borderId="14" xfId="0" applyFont="1" applyFill="1" applyBorder="1" applyAlignment="1" applyProtection="1">
      <alignment horizontal="center" vertical="center"/>
      <protection hidden="1"/>
    </xf>
    <xf numFmtId="0" fontId="158" fillId="7" borderId="6" xfId="0" applyFont="1" applyFill="1" applyBorder="1" applyAlignment="1" applyProtection="1">
      <alignment horizontal="center" vertical="center"/>
      <protection hidden="1"/>
    </xf>
    <xf numFmtId="0" fontId="158" fillId="3" borderId="21" xfId="0" applyFont="1" applyFill="1" applyBorder="1" applyAlignment="1" applyProtection="1">
      <alignment horizontal="center" vertical="center"/>
      <protection hidden="1"/>
    </xf>
    <xf numFmtId="0" fontId="158" fillId="3" borderId="19" xfId="0" applyFont="1" applyFill="1" applyBorder="1" applyAlignment="1" applyProtection="1">
      <alignment horizontal="center" vertical="center"/>
      <protection hidden="1"/>
    </xf>
    <xf numFmtId="0" fontId="158" fillId="3" borderId="10" xfId="0" applyFont="1" applyFill="1" applyBorder="1" applyAlignment="1" applyProtection="1">
      <alignment horizontal="center" vertical="center" wrapText="1"/>
      <protection hidden="1"/>
    </xf>
    <xf numFmtId="0" fontId="158" fillId="7" borderId="3" xfId="0" applyFont="1" applyFill="1" applyBorder="1" applyAlignment="1" applyProtection="1">
      <alignment horizontal="center" vertical="center"/>
      <protection hidden="1"/>
    </xf>
    <xf numFmtId="0" fontId="16" fillId="0" borderId="261" xfId="0" applyFont="1" applyFill="1" applyBorder="1" applyAlignment="1" applyProtection="1">
      <alignment horizontal="right" vertical="center"/>
      <protection hidden="1"/>
    </xf>
    <xf numFmtId="49" fontId="158" fillId="3" borderId="21" xfId="0" applyNumberFormat="1" applyFont="1" applyFill="1" applyBorder="1" applyAlignment="1" applyProtection="1">
      <alignment horizontal="center" vertical="center"/>
      <protection hidden="1"/>
    </xf>
    <xf numFmtId="49" fontId="158" fillId="3" borderId="19" xfId="0" applyNumberFormat="1" applyFont="1" applyFill="1" applyBorder="1" applyAlignment="1" applyProtection="1">
      <alignment horizontal="center" vertical="center"/>
      <protection hidden="1"/>
    </xf>
    <xf numFmtId="0" fontId="158" fillId="7" borderId="21" xfId="0" applyNumberFormat="1" applyFont="1" applyFill="1" applyBorder="1" applyAlignment="1" applyProtection="1">
      <alignment horizontal="center" vertical="center"/>
      <protection hidden="1"/>
    </xf>
    <xf numFmtId="0" fontId="3" fillId="18" borderId="0" xfId="0" applyFont="1" applyFill="1" applyBorder="1" applyAlignment="1" applyProtection="1">
      <alignment horizontal="right" vertical="center" wrapText="1"/>
      <protection hidden="1"/>
    </xf>
    <xf numFmtId="0" fontId="2" fillId="18" borderId="14" xfId="0" applyFont="1" applyFill="1" applyBorder="1" applyAlignment="1" applyProtection="1">
      <alignment horizontal="right"/>
      <protection hidden="1"/>
    </xf>
    <xf numFmtId="0" fontId="2" fillId="18" borderId="9" xfId="0" applyFont="1" applyFill="1" applyBorder="1" applyAlignment="1" applyProtection="1">
      <alignment horizontal="right" vertical="center"/>
      <protection hidden="1"/>
    </xf>
    <xf numFmtId="0" fontId="3" fillId="18" borderId="19" xfId="0" applyFont="1" applyFill="1" applyBorder="1" applyAlignment="1" applyProtection="1">
      <alignment horizontal="center" vertical="center"/>
      <protection hidden="1"/>
    </xf>
    <xf numFmtId="0" fontId="3" fillId="18" borderId="9" xfId="0" applyFont="1" applyFill="1" applyBorder="1" applyAlignment="1" applyProtection="1">
      <alignment horizontal="center" vertical="center"/>
      <protection hidden="1"/>
    </xf>
    <xf numFmtId="0" fontId="3" fillId="18" borderId="11" xfId="0" applyFont="1" applyFill="1" applyBorder="1" applyAlignment="1" applyProtection="1">
      <alignment horizontal="center" vertical="center"/>
      <protection hidden="1"/>
    </xf>
    <xf numFmtId="0" fontId="2" fillId="18" borderId="131" xfId="0" applyFont="1" applyFill="1" applyBorder="1" applyAlignment="1" applyProtection="1">
      <alignment horizontal="right" vertical="center"/>
      <protection hidden="1"/>
    </xf>
    <xf numFmtId="0" fontId="65" fillId="18" borderId="21" xfId="0" applyFont="1" applyFill="1" applyBorder="1" applyAlignment="1" applyProtection="1">
      <alignment horizontal="left" vertical="center"/>
      <protection hidden="1"/>
    </xf>
    <xf numFmtId="0" fontId="65" fillId="18" borderId="38" xfId="0" applyFont="1" applyFill="1" applyBorder="1" applyAlignment="1" applyProtection="1">
      <alignment horizontal="left" vertical="center"/>
      <protection hidden="1"/>
    </xf>
    <xf numFmtId="49" fontId="17" fillId="12" borderId="16" xfId="0" applyNumberFormat="1" applyFont="1" applyFill="1" applyBorder="1" applyAlignment="1" applyProtection="1">
      <alignment horizontal="left" vertical="center" wrapText="1"/>
      <protection locked="0"/>
    </xf>
    <xf numFmtId="49" fontId="17" fillId="12" borderId="18" xfId="0" applyNumberFormat="1" applyFont="1" applyFill="1" applyBorder="1" applyAlignment="1" applyProtection="1">
      <alignment horizontal="left" vertical="center" wrapText="1"/>
      <protection locked="0"/>
    </xf>
    <xf numFmtId="0" fontId="40" fillId="0" borderId="3" xfId="0" applyFont="1" applyFill="1" applyBorder="1" applyAlignment="1" applyProtection="1">
      <alignment vertical="center"/>
      <protection hidden="1"/>
    </xf>
    <xf numFmtId="0" fontId="40" fillId="0" borderId="21" xfId="0" applyFont="1" applyFill="1" applyBorder="1" applyAlignment="1" applyProtection="1">
      <alignment vertical="center"/>
      <protection hidden="1"/>
    </xf>
    <xf numFmtId="0" fontId="10" fillId="0" borderId="13" xfId="0" applyFont="1" applyBorder="1" applyAlignment="1" applyProtection="1">
      <alignment horizontal="center" vertical="center"/>
      <protection hidden="1"/>
    </xf>
    <xf numFmtId="0" fontId="10" fillId="0" borderId="97" xfId="0" applyFont="1" applyFill="1" applyBorder="1" applyAlignment="1" applyProtection="1">
      <alignment horizontal="center" vertical="center"/>
      <protection hidden="1"/>
    </xf>
    <xf numFmtId="0" fontId="10" fillId="9" borderId="85" xfId="0" applyFont="1" applyFill="1" applyBorder="1" applyAlignment="1" applyProtection="1">
      <alignment horizontal="center" vertical="center" wrapText="1"/>
      <protection hidden="1"/>
    </xf>
    <xf numFmtId="0" fontId="13" fillId="9" borderId="12" xfId="0" applyFont="1" applyFill="1" applyBorder="1" applyAlignment="1" applyProtection="1">
      <alignment horizontal="center" vertical="center" wrapText="1"/>
      <protection hidden="1"/>
    </xf>
    <xf numFmtId="0" fontId="20" fillId="9" borderId="12" xfId="0" applyFont="1" applyFill="1" applyBorder="1" applyAlignment="1" applyProtection="1">
      <alignment horizontal="center" vertical="center" wrapText="1"/>
      <protection hidden="1"/>
    </xf>
    <xf numFmtId="0" fontId="20" fillId="9" borderId="85" xfId="0" applyFont="1" applyFill="1" applyBorder="1" applyAlignment="1" applyProtection="1">
      <alignment horizontal="center" vertical="center" wrapText="1"/>
      <protection hidden="1"/>
    </xf>
    <xf numFmtId="0" fontId="20" fillId="9" borderId="149" xfId="0" applyFont="1" applyFill="1" applyBorder="1" applyAlignment="1" applyProtection="1">
      <alignment horizontal="center" vertical="center" wrapText="1"/>
      <protection hidden="1"/>
    </xf>
    <xf numFmtId="0" fontId="13" fillId="9" borderId="85" xfId="0" applyFont="1" applyFill="1" applyBorder="1" applyAlignment="1" applyProtection="1">
      <alignment horizontal="center" vertical="center" wrapText="1"/>
      <protection hidden="1"/>
    </xf>
    <xf numFmtId="0" fontId="13" fillId="9" borderId="6" xfId="0" applyFont="1" applyFill="1" applyBorder="1" applyAlignment="1" applyProtection="1">
      <alignment horizontal="center" vertical="center" wrapText="1"/>
      <protection hidden="1"/>
    </xf>
    <xf numFmtId="0" fontId="13" fillId="9" borderId="13" xfId="0" applyFont="1" applyFill="1" applyBorder="1" applyAlignment="1" applyProtection="1">
      <alignment horizontal="center" vertical="center" wrapText="1"/>
      <protection hidden="1"/>
    </xf>
    <xf numFmtId="0" fontId="125" fillId="19" borderId="49" xfId="0" applyFont="1" applyFill="1" applyBorder="1" applyAlignment="1" applyProtection="1">
      <alignment horizontal="right" vertical="center"/>
      <protection hidden="1"/>
    </xf>
    <xf numFmtId="0" fontId="125" fillId="19" borderId="24" xfId="0" applyFont="1" applyFill="1" applyBorder="1" applyAlignment="1" applyProtection="1">
      <alignment horizontal="right" vertical="center"/>
      <protection hidden="1"/>
    </xf>
    <xf numFmtId="0" fontId="17" fillId="19" borderId="24" xfId="0" applyFont="1" applyFill="1" applyBorder="1" applyAlignment="1" applyProtection="1">
      <alignment horizontal="center" vertical="center"/>
      <protection hidden="1"/>
    </xf>
    <xf numFmtId="0" fontId="104" fillId="19" borderId="0" xfId="0" applyFont="1" applyFill="1" applyBorder="1" applyAlignment="1" applyProtection="1">
      <alignment horizontal="left" vertical="center"/>
      <protection hidden="1"/>
    </xf>
    <xf numFmtId="0" fontId="70" fillId="0" borderId="0" xfId="0" applyFont="1" applyFill="1" applyAlignment="1" applyProtection="1">
      <protection hidden="1"/>
    </xf>
    <xf numFmtId="0" fontId="99" fillId="0" borderId="0" xfId="0" applyFont="1" applyFill="1" applyBorder="1" applyAlignment="1" applyProtection="1">
      <protection hidden="1"/>
    </xf>
    <xf numFmtId="0" fontId="99" fillId="0" borderId="0" xfId="0" applyFont="1" applyFill="1" applyAlignment="1" applyProtection="1">
      <protection hidden="1"/>
    </xf>
    <xf numFmtId="0" fontId="22" fillId="0" borderId="0" xfId="0" applyFont="1" applyFill="1" applyBorder="1" applyAlignment="1" applyProtection="1">
      <alignment horizontal="left"/>
      <protection hidden="1"/>
    </xf>
    <xf numFmtId="0" fontId="3" fillId="0" borderId="0" xfId="0" applyFont="1" applyFill="1" applyBorder="1" applyAlignment="1" applyProtection="1">
      <alignment horizontal="right"/>
      <protection hidden="1"/>
    </xf>
    <xf numFmtId="0" fontId="73" fillId="17" borderId="11" xfId="0" applyFont="1" applyFill="1" applyBorder="1" applyAlignment="1" applyProtection="1">
      <alignment horizontal="left" vertical="center"/>
      <protection hidden="1"/>
    </xf>
    <xf numFmtId="0" fontId="5" fillId="18" borderId="38" xfId="0" applyFont="1" applyFill="1" applyBorder="1" applyAlignment="1" applyProtection="1">
      <alignment vertical="center"/>
      <protection hidden="1"/>
    </xf>
    <xf numFmtId="0" fontId="72" fillId="18" borderId="24" xfId="0" applyFont="1" applyFill="1" applyBorder="1" applyAlignment="1" applyProtection="1">
      <alignment horizontal="left" vertical="center"/>
      <protection hidden="1"/>
    </xf>
    <xf numFmtId="0" fontId="40" fillId="18" borderId="35" xfId="0" applyFont="1" applyFill="1" applyBorder="1" applyAlignment="1" applyProtection="1">
      <alignment vertical="center"/>
      <protection hidden="1"/>
    </xf>
    <xf numFmtId="0" fontId="10" fillId="0" borderId="153" xfId="0" applyFont="1" applyFill="1" applyBorder="1" applyAlignment="1" applyProtection="1">
      <alignment horizontal="left" indent="1"/>
      <protection hidden="1"/>
    </xf>
    <xf numFmtId="0" fontId="140" fillId="0" borderId="27" xfId="0" applyFont="1" applyFill="1" applyBorder="1" applyAlignment="1" applyProtection="1">
      <alignment horizontal="left" vertical="top" wrapText="1" indent="1"/>
      <protection hidden="1"/>
    </xf>
    <xf numFmtId="0" fontId="149" fillId="0" borderId="0" xfId="0" applyFont="1" applyAlignment="1" applyProtection="1">
      <alignment horizontal="right" vertical="center"/>
      <protection hidden="1"/>
    </xf>
    <xf numFmtId="0" fontId="4" fillId="0" borderId="242" xfId="0" applyFont="1" applyFill="1" applyBorder="1" applyAlignment="1" applyProtection="1">
      <alignment horizontal="center" vertical="center"/>
      <protection locked="0"/>
    </xf>
    <xf numFmtId="0" fontId="99" fillId="0" borderId="49" xfId="0" applyFont="1" applyFill="1" applyBorder="1" applyAlignment="1" applyProtection="1">
      <alignment vertical="center"/>
      <protection locked="0"/>
    </xf>
    <xf numFmtId="0" fontId="99" fillId="0" borderId="244" xfId="0" applyFont="1" applyFill="1" applyBorder="1" applyAlignment="1" applyProtection="1">
      <alignment vertical="center"/>
      <protection locked="0"/>
    </xf>
    <xf numFmtId="0" fontId="102" fillId="0" borderId="16" xfId="0" applyFont="1" applyFill="1" applyBorder="1" applyAlignment="1" applyProtection="1">
      <alignment horizontal="center" vertical="center"/>
      <protection locked="0"/>
    </xf>
    <xf numFmtId="0" fontId="16" fillId="0" borderId="240" xfId="0" applyFont="1" applyFill="1" applyBorder="1" applyAlignment="1" applyProtection="1">
      <alignment horizontal="left" vertical="center"/>
      <protection locked="0"/>
    </xf>
    <xf numFmtId="0" fontId="16" fillId="0" borderId="125" xfId="0" applyFont="1" applyFill="1" applyBorder="1" applyAlignment="1" applyProtection="1">
      <alignment horizontal="left" vertical="center"/>
      <protection locked="0"/>
    </xf>
    <xf numFmtId="0" fontId="16" fillId="0" borderId="245" xfId="0" applyFont="1" applyFill="1" applyBorder="1" applyAlignment="1" applyProtection="1">
      <alignment horizontal="left" vertical="center"/>
      <protection locked="0"/>
    </xf>
    <xf numFmtId="0" fontId="16" fillId="0" borderId="24" xfId="0" applyFont="1" applyFill="1" applyBorder="1" applyAlignment="1" applyProtection="1">
      <alignment horizontal="left" vertical="center"/>
      <protection locked="0"/>
    </xf>
    <xf numFmtId="0" fontId="16" fillId="0" borderId="239" xfId="0" applyFont="1" applyFill="1" applyBorder="1" applyAlignment="1" applyProtection="1">
      <alignment horizontal="left" vertical="center"/>
      <protection locked="0"/>
    </xf>
    <xf numFmtId="0" fontId="121" fillId="0" borderId="49" xfId="0" applyFont="1" applyFill="1" applyBorder="1" applyAlignment="1" applyProtection="1">
      <alignment horizontal="right" vertical="center" wrapText="1"/>
      <protection locked="0"/>
    </xf>
    <xf numFmtId="0" fontId="121" fillId="0" borderId="244" xfId="0" applyFont="1" applyFill="1" applyBorder="1" applyAlignment="1" applyProtection="1">
      <alignment horizontal="center" vertical="center"/>
      <protection locked="0"/>
    </xf>
    <xf numFmtId="0" fontId="121" fillId="0" borderId="16" xfId="0" applyFont="1" applyFill="1" applyBorder="1" applyAlignment="1" applyProtection="1">
      <alignment horizontal="right" vertical="center" wrapText="1"/>
      <protection locked="0"/>
    </xf>
    <xf numFmtId="0" fontId="121" fillId="0" borderId="240" xfId="0" applyFont="1" applyFill="1" applyBorder="1" applyAlignment="1" applyProtection="1">
      <alignment horizontal="center" vertical="center"/>
      <protection locked="0"/>
    </xf>
    <xf numFmtId="0" fontId="99" fillId="0" borderId="0" xfId="0" applyFont="1" applyFill="1" applyBorder="1" applyAlignment="1" applyProtection="1">
      <alignment vertical="center"/>
      <protection locked="0"/>
    </xf>
    <xf numFmtId="0" fontId="99" fillId="0" borderId="239" xfId="0" applyFont="1" applyFill="1" applyBorder="1" applyAlignment="1" applyProtection="1">
      <alignment vertical="center"/>
      <protection locked="0"/>
    </xf>
    <xf numFmtId="0" fontId="99" fillId="0" borderId="0" xfId="0" applyFont="1" applyFill="1" applyBorder="1" applyAlignment="1" applyProtection="1">
      <alignment horizontal="left" vertical="center"/>
      <protection locked="0"/>
    </xf>
    <xf numFmtId="0" fontId="99" fillId="0" borderId="27" xfId="0" applyFont="1" applyFill="1" applyBorder="1" applyAlignment="1" applyProtection="1">
      <alignment horizontal="left" vertical="center"/>
      <protection locked="0"/>
    </xf>
    <xf numFmtId="0" fontId="120" fillId="0" borderId="153" xfId="0" applyFont="1" applyFill="1" applyBorder="1" applyAlignment="1" applyProtection="1">
      <alignment horizontal="right" vertical="center" wrapText="1"/>
      <protection locked="0"/>
    </xf>
    <xf numFmtId="0" fontId="120" fillId="0" borderId="14" xfId="0" applyFont="1" applyFill="1" applyBorder="1" applyAlignment="1" applyProtection="1">
      <alignment horizontal="right" vertical="center" wrapText="1"/>
      <protection locked="0"/>
    </xf>
    <xf numFmtId="0" fontId="10" fillId="0" borderId="49" xfId="0" applyFont="1" applyFill="1" applyBorder="1" applyAlignment="1" applyProtection="1">
      <alignment horizontal="left" indent="1"/>
      <protection hidden="1"/>
    </xf>
    <xf numFmtId="0" fontId="140" fillId="0" borderId="24" xfId="0" applyFont="1" applyFill="1" applyBorder="1" applyAlignment="1" applyProtection="1">
      <alignment horizontal="left" vertical="top" wrapText="1" indent="1"/>
      <protection hidden="1"/>
    </xf>
    <xf numFmtId="0" fontId="20" fillId="0" borderId="102" xfId="0" applyFont="1" applyFill="1" applyBorder="1" applyAlignment="1" applyProtection="1">
      <alignment horizontal="left" vertical="center" wrapText="1"/>
      <protection hidden="1"/>
    </xf>
    <xf numFmtId="49" fontId="17" fillId="0" borderId="16" xfId="0" applyNumberFormat="1" applyFont="1" applyFill="1" applyBorder="1" applyAlignment="1" applyProtection="1">
      <alignment vertical="center"/>
      <protection hidden="1"/>
    </xf>
    <xf numFmtId="0" fontId="99" fillId="0" borderId="16" xfId="0" applyFont="1" applyFill="1" applyBorder="1" applyAlignment="1" applyProtection="1">
      <alignment vertical="center"/>
      <protection hidden="1"/>
    </xf>
    <xf numFmtId="0" fontId="143" fillId="0" borderId="260" xfId="0" applyFont="1" applyFill="1" applyBorder="1" applyAlignment="1" applyProtection="1">
      <alignment horizontal="right" vertical="center"/>
      <protection hidden="1"/>
    </xf>
    <xf numFmtId="0" fontId="4" fillId="0" borderId="270" xfId="0" applyFont="1" applyFill="1" applyBorder="1" applyAlignment="1" applyProtection="1">
      <alignment vertical="center"/>
      <protection hidden="1"/>
    </xf>
    <xf numFmtId="0" fontId="4" fillId="0" borderId="265" xfId="0" applyFont="1" applyFill="1" applyBorder="1" applyAlignment="1" applyProtection="1">
      <alignment vertical="center"/>
      <protection hidden="1"/>
    </xf>
    <xf numFmtId="0" fontId="4" fillId="0" borderId="271" xfId="0" applyFont="1" applyFill="1" applyBorder="1" applyAlignment="1" applyProtection="1">
      <alignment vertical="center"/>
      <protection hidden="1"/>
    </xf>
    <xf numFmtId="0" fontId="47" fillId="0" borderId="28" xfId="0" applyFont="1" applyFill="1" applyBorder="1" applyAlignment="1" applyProtection="1">
      <alignment horizontal="right" vertical="center" wrapText="1"/>
      <protection hidden="1"/>
    </xf>
    <xf numFmtId="0" fontId="147" fillId="0" borderId="0" xfId="0" applyFont="1" applyFill="1" applyBorder="1" applyAlignment="1" applyProtection="1">
      <alignment horizontal="left"/>
      <protection hidden="1"/>
    </xf>
    <xf numFmtId="165" fontId="17" fillId="0" borderId="16" xfId="0" applyNumberFormat="1" applyFont="1" applyFill="1" applyBorder="1" applyAlignment="1" applyProtection="1">
      <alignment horizontal="center" vertical="center"/>
      <protection hidden="1"/>
    </xf>
    <xf numFmtId="49" fontId="15" fillId="0" borderId="148" xfId="0" applyNumberFormat="1" applyFont="1" applyFill="1" applyBorder="1" applyAlignment="1" applyProtection="1">
      <alignment horizontal="right" vertical="center"/>
      <protection hidden="1"/>
    </xf>
    <xf numFmtId="165" fontId="15" fillId="0" borderId="49" xfId="0" applyNumberFormat="1" applyFont="1" applyFill="1" applyBorder="1" applyAlignment="1" applyProtection="1">
      <alignment horizontal="center" vertical="center"/>
      <protection hidden="1"/>
    </xf>
    <xf numFmtId="0" fontId="73" fillId="0" borderId="49" xfId="0" applyFont="1" applyFill="1" applyBorder="1" applyAlignment="1" applyProtection="1">
      <alignment horizontal="left" vertical="center" wrapText="1"/>
      <protection hidden="1"/>
    </xf>
    <xf numFmtId="49" fontId="15" fillId="17" borderId="46" xfId="0" applyNumberFormat="1" applyFont="1" applyFill="1" applyBorder="1" applyAlignment="1" applyProtection="1">
      <alignment horizontal="right" vertical="center"/>
      <protection hidden="1"/>
    </xf>
    <xf numFmtId="165" fontId="17" fillId="17" borderId="16" xfId="0" applyNumberFormat="1" applyFont="1" applyFill="1" applyBorder="1" applyAlignment="1" applyProtection="1">
      <alignment horizontal="center" vertical="center"/>
      <protection hidden="1"/>
    </xf>
    <xf numFmtId="165" fontId="17" fillId="17" borderId="6" xfId="0" applyNumberFormat="1" applyFont="1" applyFill="1" applyBorder="1" applyAlignment="1" applyProtection="1">
      <alignment horizontal="center" vertical="center"/>
      <protection hidden="1"/>
    </xf>
    <xf numFmtId="49" fontId="15" fillId="16" borderId="61" xfId="0" applyNumberFormat="1" applyFont="1" applyFill="1" applyBorder="1" applyAlignment="1" applyProtection="1">
      <alignment horizontal="right" vertical="center"/>
      <protection hidden="1"/>
    </xf>
    <xf numFmtId="0" fontId="15" fillId="16" borderId="5" xfId="0" applyFont="1" applyFill="1" applyBorder="1" applyAlignment="1" applyProtection="1">
      <alignment horizontal="center" vertical="center"/>
      <protection hidden="1"/>
    </xf>
    <xf numFmtId="0" fontId="73" fillId="16" borderId="12" xfId="0" applyFont="1" applyFill="1" applyBorder="1" applyAlignment="1" applyProtection="1">
      <alignment horizontal="left" vertical="center"/>
      <protection hidden="1"/>
    </xf>
    <xf numFmtId="0" fontId="16" fillId="0" borderId="16" xfId="0" applyFont="1" applyFill="1" applyBorder="1" applyAlignment="1" applyProtection="1">
      <alignment horizontal="right" vertical="center"/>
      <protection hidden="1"/>
    </xf>
    <xf numFmtId="0" fontId="40" fillId="0" borderId="6" xfId="0" applyFont="1" applyFill="1" applyBorder="1" applyAlignment="1" applyProtection="1">
      <alignment vertical="center"/>
      <protection hidden="1"/>
    </xf>
    <xf numFmtId="49" fontId="171" fillId="12" borderId="1" xfId="0" applyNumberFormat="1" applyFont="1" applyFill="1" applyBorder="1" applyAlignment="1" applyProtection="1">
      <alignment horizontal="center" vertical="center"/>
      <protection locked="0"/>
    </xf>
    <xf numFmtId="49" fontId="171" fillId="12" borderId="12" xfId="0" applyNumberFormat="1" applyFont="1" applyFill="1" applyBorder="1" applyAlignment="1" applyProtection="1">
      <alignment horizontal="center" vertical="center"/>
      <protection locked="0"/>
    </xf>
    <xf numFmtId="49" fontId="171" fillId="12" borderId="241" xfId="0" applyNumberFormat="1" applyFont="1" applyFill="1" applyBorder="1" applyAlignment="1" applyProtection="1">
      <alignment horizontal="center" vertical="center"/>
      <protection locked="0"/>
    </xf>
    <xf numFmtId="0" fontId="171" fillId="12" borderId="12" xfId="0" applyFont="1" applyFill="1" applyBorder="1" applyAlignment="1" applyProtection="1">
      <alignment horizontal="center" vertical="center"/>
      <protection locked="0"/>
    </xf>
    <xf numFmtId="49" fontId="171" fillId="12" borderId="5" xfId="0" applyNumberFormat="1" applyFont="1" applyFill="1" applyBorder="1" applyAlignment="1" applyProtection="1">
      <alignment horizontal="center" vertical="center"/>
      <protection locked="0"/>
    </xf>
    <xf numFmtId="49" fontId="172" fillId="12" borderId="195" xfId="0" applyNumberFormat="1" applyFont="1" applyFill="1" applyBorder="1" applyAlignment="1" applyProtection="1">
      <alignment horizontal="center" vertical="center"/>
      <protection locked="0"/>
    </xf>
    <xf numFmtId="49" fontId="172" fillId="12" borderId="89" xfId="0" applyNumberFormat="1" applyFont="1" applyFill="1" applyBorder="1" applyAlignment="1" applyProtection="1">
      <alignment horizontal="center" vertical="center"/>
      <protection locked="0"/>
    </xf>
    <xf numFmtId="49" fontId="172" fillId="12" borderId="259" xfId="0" applyNumberFormat="1" applyFont="1" applyFill="1" applyBorder="1" applyAlignment="1" applyProtection="1">
      <alignment horizontal="center" vertical="center"/>
      <protection locked="0"/>
    </xf>
    <xf numFmtId="174" fontId="111" fillId="12" borderId="20" xfId="0" applyNumberFormat="1" applyFont="1" applyFill="1" applyBorder="1" applyAlignment="1" applyProtection="1">
      <alignment horizontal="center" vertical="center"/>
      <protection locked="0"/>
    </xf>
    <xf numFmtId="174" fontId="111" fillId="12" borderId="152" xfId="0" applyNumberFormat="1" applyFont="1" applyFill="1" applyBorder="1" applyAlignment="1" applyProtection="1">
      <alignment horizontal="center" vertical="center"/>
      <protection locked="0"/>
    </xf>
    <xf numFmtId="0" fontId="174" fillId="0" borderId="25" xfId="0" applyFont="1" applyFill="1" applyBorder="1" applyAlignment="1" applyProtection="1">
      <alignment horizontal="right" vertical="center"/>
      <protection hidden="1"/>
    </xf>
    <xf numFmtId="0" fontId="111" fillId="0" borderId="24" xfId="0" applyFont="1" applyFill="1" applyBorder="1" applyAlignment="1" applyProtection="1">
      <alignment horizontal="center" vertical="center"/>
      <protection hidden="1"/>
    </xf>
    <xf numFmtId="0" fontId="111" fillId="0" borderId="26" xfId="0" applyFont="1" applyFill="1" applyBorder="1" applyAlignment="1" applyProtection="1">
      <alignment horizontal="center" vertical="center"/>
      <protection hidden="1"/>
    </xf>
    <xf numFmtId="0" fontId="111" fillId="0" borderId="7" xfId="0" applyFont="1" applyFill="1" applyBorder="1" applyAlignment="1" applyProtection="1">
      <alignment horizontal="center" vertical="center"/>
      <protection hidden="1"/>
    </xf>
    <xf numFmtId="0" fontId="111" fillId="0" borderId="27" xfId="0" applyFont="1" applyFill="1" applyBorder="1" applyAlignment="1" applyProtection="1">
      <alignment horizontal="center" vertical="center" wrapText="1"/>
      <protection hidden="1"/>
    </xf>
    <xf numFmtId="49" fontId="111" fillId="0" borderId="243" xfId="0" applyNumberFormat="1" applyFont="1" applyFill="1" applyBorder="1" applyAlignment="1" applyProtection="1">
      <alignment horizontal="center" vertical="center"/>
      <protection hidden="1"/>
    </xf>
    <xf numFmtId="0" fontId="111" fillId="0" borderId="50" xfId="0" applyFont="1" applyFill="1" applyBorder="1" applyAlignment="1" applyProtection="1">
      <alignment horizontal="center" vertical="center"/>
      <protection hidden="1"/>
    </xf>
    <xf numFmtId="0" fontId="111" fillId="15" borderId="51" xfId="0" applyFont="1" applyFill="1" applyBorder="1" applyAlignment="1" applyProtection="1">
      <alignment horizontal="center" vertical="center"/>
      <protection hidden="1"/>
    </xf>
    <xf numFmtId="0" fontId="111" fillId="0" borderId="51" xfId="0" applyFont="1" applyFill="1" applyBorder="1" applyAlignment="1" applyProtection="1">
      <alignment horizontal="center" vertical="center"/>
      <protection hidden="1"/>
    </xf>
    <xf numFmtId="0" fontId="111" fillId="0" borderId="269" xfId="0" applyFont="1" applyFill="1" applyBorder="1" applyAlignment="1" applyProtection="1">
      <alignment horizontal="center" vertical="center"/>
      <protection hidden="1"/>
    </xf>
    <xf numFmtId="0" fontId="111" fillId="0" borderId="25" xfId="0" applyFont="1" applyFill="1" applyBorder="1" applyAlignment="1" applyProtection="1">
      <alignment horizontal="center" vertical="center"/>
      <protection hidden="1"/>
    </xf>
    <xf numFmtId="0" fontId="111" fillId="0" borderId="26" xfId="0" applyFont="1" applyFill="1" applyBorder="1" applyAlignment="1" applyProtection="1">
      <alignment horizontal="center" vertical="center" wrapText="1"/>
      <protection hidden="1"/>
    </xf>
    <xf numFmtId="0" fontId="111" fillId="0" borderId="7" xfId="0" applyFont="1" applyFill="1" applyBorder="1" applyAlignment="1" applyProtection="1">
      <alignment horizontal="center" vertical="center" wrapText="1"/>
      <protection hidden="1"/>
    </xf>
    <xf numFmtId="0" fontId="111" fillId="0" borderId="9" xfId="0" applyFont="1" applyFill="1" applyBorder="1" applyAlignment="1" applyProtection="1">
      <alignment horizontal="center" vertical="center"/>
      <protection hidden="1"/>
    </xf>
    <xf numFmtId="0" fontId="111" fillId="0" borderId="9" xfId="0" applyFont="1" applyFill="1" applyBorder="1" applyAlignment="1" applyProtection="1">
      <alignment horizontal="center" vertical="center" wrapText="1"/>
      <protection hidden="1"/>
    </xf>
    <xf numFmtId="0" fontId="111" fillId="15" borderId="26" xfId="0" applyFont="1" applyFill="1" applyBorder="1" applyAlignment="1" applyProtection="1">
      <alignment horizontal="center" vertical="center"/>
      <protection hidden="1"/>
    </xf>
    <xf numFmtId="0" fontId="111" fillId="0" borderId="243" xfId="0" applyFont="1" applyFill="1" applyBorder="1" applyAlignment="1" applyProtection="1">
      <alignment horizontal="center" vertical="center"/>
      <protection hidden="1"/>
    </xf>
    <xf numFmtId="0" fontId="111" fillId="15" borderId="7" xfId="0" applyFont="1" applyFill="1" applyBorder="1" applyAlignment="1" applyProtection="1">
      <alignment horizontal="center" vertical="center" wrapText="1"/>
      <protection hidden="1"/>
    </xf>
    <xf numFmtId="0" fontId="111" fillId="0" borderId="1" xfId="0" applyFont="1" applyFill="1" applyBorder="1" applyAlignment="1" applyProtection="1">
      <alignment horizontal="center" vertical="center"/>
      <protection hidden="1"/>
    </xf>
    <xf numFmtId="0" fontId="175" fillId="0" borderId="1" xfId="0" applyFont="1" applyFill="1" applyBorder="1" applyAlignment="1" applyProtection="1">
      <alignment horizontal="center" vertical="center"/>
      <protection hidden="1"/>
    </xf>
    <xf numFmtId="49" fontId="111" fillId="0" borderId="1" xfId="0" applyNumberFormat="1" applyFont="1" applyFill="1" applyBorder="1" applyAlignment="1" applyProtection="1">
      <alignment horizontal="center" vertical="center"/>
      <protection hidden="1"/>
    </xf>
    <xf numFmtId="0" fontId="111" fillId="0" borderId="10" xfId="0" applyFont="1" applyFill="1" applyBorder="1" applyAlignment="1" applyProtection="1">
      <alignment horizontal="center" vertical="center"/>
      <protection hidden="1"/>
    </xf>
    <xf numFmtId="0" fontId="175" fillId="0" borderId="26" xfId="0" applyFont="1" applyFill="1" applyBorder="1" applyAlignment="1" applyProtection="1">
      <alignment horizontal="center" vertical="center"/>
      <protection hidden="1"/>
    </xf>
    <xf numFmtId="0" fontId="111" fillId="0" borderId="1" xfId="0" applyFont="1" applyFill="1" applyBorder="1" applyAlignment="1" applyProtection="1">
      <alignment horizontal="center" vertical="center" wrapText="1"/>
      <protection hidden="1"/>
    </xf>
    <xf numFmtId="0" fontId="111" fillId="0" borderId="6" xfId="0" applyFont="1" applyFill="1" applyBorder="1" applyAlignment="1" applyProtection="1">
      <alignment horizontal="center" vertical="center"/>
      <protection hidden="1"/>
    </xf>
    <xf numFmtId="0" fontId="111" fillId="0" borderId="11" xfId="0" applyFont="1" applyFill="1" applyBorder="1" applyAlignment="1" applyProtection="1">
      <alignment horizontal="center" vertical="center"/>
      <protection hidden="1"/>
    </xf>
    <xf numFmtId="0" fontId="175" fillId="0" borderId="7" xfId="0" applyFont="1" applyFill="1" applyBorder="1" applyAlignment="1" applyProtection="1">
      <alignment horizontal="center" vertical="center"/>
      <protection hidden="1"/>
    </xf>
    <xf numFmtId="0" fontId="111" fillId="0" borderId="246" xfId="0" applyFont="1" applyFill="1" applyBorder="1" applyAlignment="1" applyProtection="1">
      <alignment horizontal="center" vertical="center"/>
      <protection hidden="1"/>
    </xf>
    <xf numFmtId="0" fontId="171" fillId="0" borderId="243" xfId="0" applyFont="1" applyFill="1" applyBorder="1" applyAlignment="1" applyProtection="1">
      <alignment horizontal="center" vertical="center"/>
      <protection locked="0"/>
    </xf>
    <xf numFmtId="49" fontId="111" fillId="0" borderId="7" xfId="0" applyNumberFormat="1" applyFont="1" applyFill="1" applyBorder="1" applyAlignment="1" applyProtection="1">
      <alignment horizontal="center" vertical="center"/>
      <protection hidden="1"/>
    </xf>
    <xf numFmtId="0" fontId="175" fillId="0" borderId="9" xfId="0" applyFont="1" applyFill="1" applyBorder="1" applyAlignment="1" applyProtection="1">
      <alignment horizontal="center" vertical="center"/>
      <protection hidden="1"/>
    </xf>
    <xf numFmtId="0" fontId="172" fillId="19" borderId="102" xfId="0" applyFont="1" applyFill="1" applyBorder="1" applyAlignment="1" applyProtection="1">
      <alignment vertical="center" wrapText="1"/>
      <protection hidden="1"/>
    </xf>
    <xf numFmtId="0" fontId="172" fillId="19" borderId="22" xfId="0" applyFont="1" applyFill="1" applyBorder="1" applyAlignment="1" applyProtection="1">
      <alignment vertical="center" wrapText="1"/>
      <protection hidden="1"/>
    </xf>
    <xf numFmtId="0" fontId="177" fillId="19" borderId="0" xfId="0" applyFont="1" applyFill="1" applyBorder="1" applyAlignment="1" applyProtection="1">
      <alignment vertical="center"/>
      <protection hidden="1"/>
    </xf>
    <xf numFmtId="0" fontId="177" fillId="19" borderId="28" xfId="0" applyFont="1" applyFill="1" applyBorder="1" applyAlignment="1" applyProtection="1">
      <alignment vertical="center"/>
      <protection hidden="1"/>
    </xf>
    <xf numFmtId="0" fontId="171" fillId="19" borderId="0" xfId="0" applyFont="1" applyFill="1" applyBorder="1" applyAlignment="1" applyProtection="1">
      <alignment horizontal="left"/>
      <protection hidden="1"/>
    </xf>
    <xf numFmtId="0" fontId="178" fillId="19" borderId="28" xfId="0" applyFont="1" applyFill="1" applyBorder="1" applyAlignment="1" applyProtection="1">
      <alignment horizontal="left" vertical="center" wrapText="1"/>
      <protection hidden="1"/>
    </xf>
    <xf numFmtId="0" fontId="171" fillId="19" borderId="24" xfId="0" applyFont="1" applyFill="1" applyBorder="1" applyAlignment="1" applyProtection="1">
      <alignment horizontal="left" vertical="top"/>
      <protection hidden="1"/>
    </xf>
    <xf numFmtId="0" fontId="179" fillId="19" borderId="28" xfId="0" applyFont="1" applyFill="1" applyBorder="1" applyAlignment="1" applyProtection="1">
      <alignment horizontal="left" vertical="center" wrapText="1"/>
      <protection hidden="1"/>
    </xf>
    <xf numFmtId="0" fontId="172" fillId="19" borderId="28" xfId="0" applyFont="1" applyFill="1" applyBorder="1" applyAlignment="1" applyProtection="1">
      <alignment vertical="center" wrapText="1"/>
      <protection hidden="1"/>
    </xf>
    <xf numFmtId="0" fontId="176" fillId="19" borderId="0" xfId="0" applyFont="1" applyFill="1" applyBorder="1" applyAlignment="1" applyProtection="1">
      <alignment horizontal="right" vertical="center"/>
      <protection hidden="1"/>
    </xf>
    <xf numFmtId="170" fontId="176" fillId="19" borderId="102" xfId="0" applyNumberFormat="1" applyFont="1" applyFill="1" applyBorder="1" applyAlignment="1" applyProtection="1">
      <alignment horizontal="left" vertical="center" wrapText="1"/>
      <protection hidden="1"/>
    </xf>
    <xf numFmtId="0" fontId="113" fillId="0" borderId="58" xfId="0" applyFont="1" applyFill="1" applyBorder="1" applyAlignment="1" applyProtection="1">
      <alignment horizontal="center" vertical="center"/>
      <protection hidden="1"/>
    </xf>
    <xf numFmtId="0" fontId="40" fillId="0" borderId="5" xfId="0" applyFont="1" applyFill="1" applyBorder="1" applyAlignment="1" applyProtection="1">
      <alignment vertical="center"/>
      <protection hidden="1"/>
    </xf>
    <xf numFmtId="0" fontId="73" fillId="17" borderId="8" xfId="0" applyFont="1" applyFill="1" applyBorder="1" applyAlignment="1" applyProtection="1">
      <alignment horizontal="left" vertical="center"/>
      <protection hidden="1"/>
    </xf>
    <xf numFmtId="0" fontId="40" fillId="17" borderId="0" xfId="0" applyFont="1" applyFill="1" applyAlignment="1" applyProtection="1">
      <alignment vertical="center"/>
      <protection hidden="1"/>
    </xf>
    <xf numFmtId="0" fontId="111" fillId="15" borderId="11" xfId="0" applyFont="1" applyFill="1" applyBorder="1" applyAlignment="1" applyProtection="1">
      <alignment horizontal="center" vertical="center"/>
      <protection hidden="1"/>
    </xf>
    <xf numFmtId="0" fontId="175" fillId="15" borderId="26" xfId="0" applyFont="1" applyFill="1" applyBorder="1" applyAlignment="1" applyProtection="1">
      <alignment horizontal="center" vertical="center"/>
      <protection hidden="1"/>
    </xf>
    <xf numFmtId="0" fontId="111" fillId="15" borderId="1" xfId="0" applyFont="1" applyFill="1" applyBorder="1" applyAlignment="1" applyProtection="1">
      <alignment horizontal="center" vertical="center"/>
      <protection hidden="1"/>
    </xf>
    <xf numFmtId="0" fontId="73" fillId="17" borderId="24" xfId="0" applyFont="1" applyFill="1" applyBorder="1" applyAlignment="1" applyProtection="1">
      <alignment vertical="center"/>
      <protection hidden="1"/>
    </xf>
    <xf numFmtId="49" fontId="16" fillId="17" borderId="24" xfId="0" applyNumberFormat="1" applyFont="1" applyFill="1" applyBorder="1" applyAlignment="1" applyProtection="1">
      <alignment horizontal="right" vertical="center"/>
      <protection hidden="1"/>
    </xf>
    <xf numFmtId="164" fontId="17" fillId="17" borderId="24" xfId="0" applyNumberFormat="1" applyFont="1" applyFill="1" applyBorder="1" applyAlignment="1" applyProtection="1">
      <alignment horizontal="center" vertical="center"/>
      <protection hidden="1"/>
    </xf>
    <xf numFmtId="0" fontId="17" fillId="0" borderId="258" xfId="0" applyFont="1" applyFill="1" applyBorder="1" applyAlignment="1" applyProtection="1">
      <alignment horizontal="right" vertical="center"/>
      <protection hidden="1"/>
    </xf>
    <xf numFmtId="174" fontId="13" fillId="13" borderId="1" xfId="0" applyNumberFormat="1" applyFont="1" applyFill="1" applyBorder="1" applyAlignment="1" applyProtection="1">
      <alignment horizontal="center" vertical="center"/>
      <protection locked="0"/>
    </xf>
    <xf numFmtId="0" fontId="17" fillId="0" borderId="102" xfId="0" applyFont="1" applyFill="1" applyBorder="1" applyAlignment="1" applyProtection="1">
      <alignment vertical="center"/>
      <protection hidden="1"/>
    </xf>
    <xf numFmtId="0" fontId="150" fillId="0" borderId="28" xfId="0" applyFont="1" applyFill="1" applyBorder="1" applyAlignment="1" applyProtection="1">
      <alignment horizontal="right" vertical="center"/>
      <protection hidden="1"/>
    </xf>
    <xf numFmtId="0" fontId="182" fillId="0" borderId="0" xfId="0" applyFont="1" applyFill="1" applyBorder="1" applyAlignment="1" applyProtection="1">
      <alignment vertical="center"/>
      <protection hidden="1"/>
    </xf>
    <xf numFmtId="0" fontId="172" fillId="0" borderId="0" xfId="0" applyFont="1" applyFill="1" applyBorder="1" applyAlignment="1" applyProtection="1">
      <alignment horizontal="right"/>
      <protection hidden="1"/>
    </xf>
    <xf numFmtId="0" fontId="172" fillId="0" borderId="3" xfId="0" applyFont="1" applyFill="1" applyBorder="1" applyAlignment="1" applyProtection="1">
      <alignment horizontal="right" vertical="center"/>
      <protection hidden="1"/>
    </xf>
    <xf numFmtId="174" fontId="172" fillId="0" borderId="4" xfId="0" applyNumberFormat="1" applyFont="1" applyFill="1" applyBorder="1" applyAlignment="1" applyProtection="1">
      <alignment horizontal="left" vertical="center"/>
      <protection hidden="1"/>
    </xf>
    <xf numFmtId="0" fontId="172" fillId="0" borderId="5" xfId="0" applyFont="1" applyFill="1" applyBorder="1" applyAlignment="1" applyProtection="1">
      <alignment horizontal="right" vertical="center"/>
      <protection hidden="1"/>
    </xf>
    <xf numFmtId="174" fontId="172" fillId="0" borderId="13" xfId="0" applyNumberFormat="1" applyFont="1" applyFill="1" applyBorder="1" applyAlignment="1" applyProtection="1">
      <alignment horizontal="left" vertical="center"/>
      <protection hidden="1"/>
    </xf>
    <xf numFmtId="0" fontId="171" fillId="17" borderId="47" xfId="0" applyFont="1" applyFill="1" applyBorder="1" applyAlignment="1" applyProtection="1">
      <alignment horizontal="left" vertical="center" indent="1"/>
      <protection hidden="1"/>
    </xf>
    <xf numFmtId="0" fontId="171" fillId="17" borderId="24" xfId="0" applyFont="1" applyFill="1" applyBorder="1" applyAlignment="1" applyProtection="1">
      <alignment vertical="center" wrapText="1"/>
      <protection hidden="1"/>
    </xf>
    <xf numFmtId="0" fontId="171" fillId="17" borderId="22" xfId="0" applyFont="1" applyFill="1" applyBorder="1" applyAlignment="1" applyProtection="1">
      <alignment vertical="center" wrapText="1"/>
      <protection hidden="1"/>
    </xf>
    <xf numFmtId="0" fontId="40" fillId="19" borderId="14" xfId="0" applyFont="1" applyFill="1" applyBorder="1" applyAlignment="1" applyProtection="1">
      <alignment vertical="center"/>
      <protection hidden="1"/>
    </xf>
    <xf numFmtId="0" fontId="113" fillId="13" borderId="122" xfId="0" applyFont="1" applyFill="1" applyBorder="1" applyAlignment="1" applyProtection="1">
      <alignment horizontal="center" vertical="center"/>
      <protection locked="0"/>
    </xf>
    <xf numFmtId="0" fontId="103" fillId="18" borderId="5" xfId="0" applyFont="1" applyFill="1" applyBorder="1" applyAlignment="1" applyProtection="1">
      <alignment horizontal="left" vertical="center"/>
      <protection locked="0"/>
    </xf>
    <xf numFmtId="0" fontId="103" fillId="18" borderId="8" xfId="0" applyFont="1" applyFill="1" applyBorder="1" applyAlignment="1" applyProtection="1">
      <alignment horizontal="left" vertical="center"/>
      <protection locked="0"/>
    </xf>
    <xf numFmtId="0" fontId="104" fillId="18" borderId="4" xfId="0" applyFont="1" applyFill="1" applyBorder="1" applyAlignment="1" applyProtection="1">
      <alignment vertical="center"/>
      <protection locked="0"/>
    </xf>
    <xf numFmtId="0" fontId="103" fillId="18" borderId="3" xfId="0" applyFont="1" applyFill="1" applyBorder="1" applyAlignment="1" applyProtection="1">
      <alignment vertical="center"/>
      <protection locked="0"/>
    </xf>
    <xf numFmtId="0" fontId="104" fillId="18" borderId="13" xfId="0" applyFont="1" applyFill="1" applyBorder="1" applyAlignment="1" applyProtection="1">
      <alignment vertical="center"/>
      <protection locked="0"/>
    </xf>
    <xf numFmtId="0" fontId="103" fillId="18" borderId="5" xfId="0" applyFont="1" applyFill="1" applyBorder="1" applyAlignment="1" applyProtection="1">
      <alignment vertical="center"/>
      <protection locked="0"/>
    </xf>
    <xf numFmtId="0" fontId="104" fillId="18" borderId="23" xfId="0" applyFont="1" applyFill="1" applyBorder="1" applyAlignment="1" applyProtection="1">
      <alignment horizontal="left" vertical="center"/>
      <protection locked="0"/>
    </xf>
    <xf numFmtId="0" fontId="104" fillId="18" borderId="23" xfId="0" applyFont="1" applyFill="1" applyBorder="1" applyAlignment="1" applyProtection="1">
      <alignment vertical="center"/>
      <protection locked="0"/>
    </xf>
    <xf numFmtId="0" fontId="103" fillId="18" borderId="8" xfId="0" applyFont="1" applyFill="1" applyBorder="1" applyAlignment="1" applyProtection="1">
      <alignment vertical="center"/>
      <protection locked="0"/>
    </xf>
    <xf numFmtId="0" fontId="104" fillId="18" borderId="4" xfId="0" applyFont="1" applyFill="1" applyBorder="1" applyProtection="1">
      <protection locked="0"/>
    </xf>
    <xf numFmtId="0" fontId="103" fillId="18" borderId="3" xfId="0" applyFont="1" applyFill="1" applyBorder="1" applyProtection="1">
      <protection locked="0"/>
    </xf>
    <xf numFmtId="0" fontId="104" fillId="18" borderId="13" xfId="0" applyFont="1" applyFill="1" applyBorder="1" applyProtection="1">
      <protection locked="0"/>
    </xf>
    <xf numFmtId="0" fontId="103" fillId="18" borderId="5" xfId="0" applyFont="1" applyFill="1" applyBorder="1" applyProtection="1">
      <protection locked="0"/>
    </xf>
    <xf numFmtId="0" fontId="104" fillId="18" borderId="23" xfId="0" applyFont="1" applyFill="1" applyBorder="1" applyProtection="1">
      <protection locked="0"/>
    </xf>
    <xf numFmtId="0" fontId="103" fillId="18" borderId="8" xfId="0" applyFont="1" applyFill="1" applyBorder="1" applyProtection="1">
      <protection locked="0"/>
    </xf>
    <xf numFmtId="0" fontId="103" fillId="18" borderId="3" xfId="0" applyNumberFormat="1" applyFont="1" applyFill="1" applyBorder="1" applyAlignment="1" applyProtection="1">
      <alignment horizontal="left" vertical="center"/>
      <protection locked="0"/>
    </xf>
    <xf numFmtId="0" fontId="103" fillId="18" borderId="5" xfId="0" applyNumberFormat="1" applyFont="1" applyFill="1" applyBorder="1" applyAlignment="1" applyProtection="1">
      <alignment horizontal="left" vertical="center"/>
      <protection locked="0"/>
    </xf>
    <xf numFmtId="0" fontId="103" fillId="18" borderId="8" xfId="0" applyNumberFormat="1" applyFont="1" applyFill="1" applyBorder="1" applyAlignment="1" applyProtection="1">
      <alignment horizontal="left" vertical="center"/>
      <protection locked="0"/>
    </xf>
    <xf numFmtId="0" fontId="103" fillId="18" borderId="3" xfId="0" applyFont="1" applyFill="1" applyBorder="1" applyAlignment="1" applyProtection="1">
      <alignment horizontal="left" vertical="center"/>
      <protection locked="0"/>
    </xf>
    <xf numFmtId="49" fontId="104" fillId="18" borderId="4" xfId="0" applyNumberFormat="1" applyFont="1" applyFill="1" applyBorder="1" applyAlignment="1" applyProtection="1">
      <alignment horizontal="left"/>
      <protection locked="0"/>
    </xf>
    <xf numFmtId="49" fontId="103" fillId="18" borderId="3" xfId="0" applyNumberFormat="1" applyFont="1" applyFill="1" applyBorder="1" applyAlignment="1" applyProtection="1">
      <alignment horizontal="left"/>
      <protection locked="0"/>
    </xf>
    <xf numFmtId="49" fontId="104" fillId="18" borderId="13" xfId="0" applyNumberFormat="1" applyFont="1" applyFill="1" applyBorder="1" applyAlignment="1" applyProtection="1">
      <alignment horizontal="left"/>
      <protection locked="0"/>
    </xf>
    <xf numFmtId="49" fontId="103" fillId="18" borderId="5" xfId="0" applyNumberFormat="1" applyFont="1" applyFill="1" applyBorder="1" applyAlignment="1" applyProtection="1">
      <alignment horizontal="left"/>
      <protection locked="0"/>
    </xf>
    <xf numFmtId="49" fontId="104" fillId="18" borderId="23" xfId="0" applyNumberFormat="1" applyFont="1" applyFill="1" applyBorder="1" applyAlignment="1" applyProtection="1">
      <alignment horizontal="left"/>
      <protection locked="0"/>
    </xf>
    <xf numFmtId="49" fontId="103" fillId="18" borderId="8" xfId="0" applyNumberFormat="1" applyFont="1" applyFill="1" applyBorder="1" applyAlignment="1" applyProtection="1">
      <alignment horizontal="left"/>
      <protection locked="0"/>
    </xf>
    <xf numFmtId="49" fontId="104" fillId="18" borderId="13" xfId="0" applyNumberFormat="1" applyFont="1" applyFill="1" applyBorder="1" applyAlignment="1" applyProtection="1">
      <alignment horizontal="left" vertical="center"/>
      <protection locked="0"/>
    </xf>
    <xf numFmtId="0" fontId="115" fillId="12" borderId="122" xfId="0" applyFont="1" applyFill="1" applyBorder="1" applyAlignment="1" applyProtection="1">
      <alignment horizontal="center" vertical="center"/>
      <protection locked="0"/>
    </xf>
    <xf numFmtId="0" fontId="138" fillId="0" borderId="0" xfId="2" applyFont="1" applyAlignment="1">
      <alignment horizontal="left" vertical="center"/>
    </xf>
    <xf numFmtId="0" fontId="144" fillId="0" borderId="263" xfId="0" applyFont="1" applyFill="1" applyBorder="1" applyAlignment="1" applyProtection="1">
      <alignment horizontal="right" vertical="center" wrapText="1"/>
      <protection hidden="1"/>
    </xf>
    <xf numFmtId="49" fontId="17" fillId="12" borderId="14" xfId="0" applyNumberFormat="1" applyFont="1" applyFill="1" applyBorder="1" applyAlignment="1" applyProtection="1">
      <alignment horizontal="left" vertical="center"/>
      <protection locked="0"/>
    </xf>
    <xf numFmtId="0" fontId="17" fillId="0" borderId="27" xfId="0" applyFont="1" applyFill="1" applyBorder="1" applyAlignment="1" applyProtection="1">
      <alignment horizontal="right" vertical="center" wrapText="1" indent="1"/>
      <protection hidden="1"/>
    </xf>
    <xf numFmtId="0" fontId="17" fillId="0" borderId="24" xfId="0" applyFont="1" applyFill="1" applyBorder="1" applyAlignment="1" applyProtection="1">
      <alignment horizontal="right" vertical="center" wrapText="1" indent="1"/>
      <protection hidden="1"/>
    </xf>
    <xf numFmtId="0" fontId="171" fillId="12" borderId="27" xfId="0" applyFont="1" applyFill="1" applyBorder="1" applyAlignment="1" applyProtection="1">
      <alignment horizontal="left" vertical="center"/>
      <protection locked="0"/>
    </xf>
    <xf numFmtId="0" fontId="171" fillId="12" borderId="24" xfId="0" applyFont="1" applyFill="1" applyBorder="1" applyAlignment="1" applyProtection="1">
      <alignment horizontal="left" vertical="center"/>
      <protection locked="0"/>
    </xf>
    <xf numFmtId="0" fontId="111" fillId="15" borderId="7" xfId="0" applyFont="1" applyFill="1" applyBorder="1" applyAlignment="1" applyProtection="1">
      <alignment horizontal="center" vertical="center"/>
      <protection hidden="1"/>
    </xf>
    <xf numFmtId="49" fontId="15" fillId="17" borderId="45" xfId="0" applyNumberFormat="1" applyFont="1" applyFill="1" applyBorder="1" applyAlignment="1" applyProtection="1">
      <alignment horizontal="right" vertical="center"/>
      <protection hidden="1"/>
    </xf>
    <xf numFmtId="165" fontId="15" fillId="17" borderId="8" xfId="0" applyNumberFormat="1" applyFont="1" applyFill="1" applyBorder="1" applyAlignment="1" applyProtection="1">
      <alignment horizontal="center" vertical="center"/>
      <protection hidden="1"/>
    </xf>
    <xf numFmtId="0" fontId="0" fillId="0" borderId="58" xfId="0" applyBorder="1" applyAlignment="1">
      <alignment wrapText="1"/>
    </xf>
    <xf numFmtId="0" fontId="0" fillId="0" borderId="58" xfId="0" applyBorder="1"/>
    <xf numFmtId="0" fontId="10" fillId="0" borderId="58" xfId="0" applyFont="1" applyBorder="1" applyAlignment="1">
      <alignment horizontal="right"/>
    </xf>
    <xf numFmtId="0" fontId="150" fillId="19" borderId="0" xfId="0" applyFont="1" applyFill="1" applyBorder="1" applyAlignment="1" applyProtection="1">
      <alignment horizontal="right" vertical="center"/>
      <protection hidden="1"/>
    </xf>
    <xf numFmtId="0" fontId="99" fillId="19" borderId="16" xfId="0" applyFont="1" applyFill="1" applyBorder="1" applyAlignment="1" applyProtection="1">
      <alignment vertical="center"/>
      <protection hidden="1"/>
    </xf>
    <xf numFmtId="0" fontId="187" fillId="19" borderId="18" xfId="0" applyFont="1" applyFill="1" applyBorder="1" applyAlignment="1" applyProtection="1">
      <alignment horizontal="right" vertical="center"/>
      <protection hidden="1"/>
    </xf>
    <xf numFmtId="0" fontId="188" fillId="0" borderId="0" xfId="0" applyFont="1" applyFill="1" applyAlignment="1" applyProtection="1">
      <alignment vertical="center"/>
      <protection hidden="1"/>
    </xf>
    <xf numFmtId="0" fontId="187" fillId="19" borderId="28" xfId="0" applyFont="1" applyFill="1" applyBorder="1" applyAlignment="1" applyProtection="1">
      <alignment horizontal="right" vertical="center"/>
      <protection hidden="1"/>
    </xf>
    <xf numFmtId="0" fontId="99" fillId="19" borderId="0" xfId="0" applyFont="1" applyFill="1" applyBorder="1" applyAlignment="1" applyProtection="1">
      <alignment vertical="center"/>
      <protection hidden="1"/>
    </xf>
    <xf numFmtId="0" fontId="99" fillId="19" borderId="0" xfId="0" applyFont="1" applyFill="1" applyAlignment="1" applyProtection="1">
      <alignment vertical="center"/>
      <protection hidden="1"/>
    </xf>
    <xf numFmtId="0" fontId="187" fillId="19" borderId="102" xfId="0" applyFont="1" applyFill="1" applyBorder="1" applyAlignment="1" applyProtection="1">
      <alignment horizontal="right" vertical="center"/>
      <protection hidden="1"/>
    </xf>
    <xf numFmtId="0" fontId="189" fillId="19" borderId="0" xfId="0" applyFont="1" applyFill="1" applyBorder="1" applyAlignment="1" applyProtection="1">
      <alignment horizontal="center" vertical="center" wrapText="1"/>
      <protection hidden="1"/>
    </xf>
    <xf numFmtId="0" fontId="190" fillId="0" borderId="0" xfId="0" applyFont="1" applyFill="1" applyBorder="1" applyAlignment="1" applyProtection="1">
      <alignment vertical="center"/>
      <protection hidden="1"/>
    </xf>
    <xf numFmtId="0" fontId="191" fillId="14" borderId="49" xfId="0" applyFont="1" applyFill="1" applyBorder="1" applyAlignment="1" applyProtection="1">
      <alignment horizontal="left" vertical="center"/>
      <protection hidden="1"/>
    </xf>
    <xf numFmtId="0" fontId="191" fillId="14" borderId="49" xfId="0" applyFont="1" applyFill="1" applyBorder="1" applyAlignment="1" applyProtection="1">
      <alignment horizontal="left" vertical="center" wrapText="1"/>
      <protection hidden="1"/>
    </xf>
    <xf numFmtId="0" fontId="191" fillId="14" borderId="102" xfId="0" applyFont="1" applyFill="1" applyBorder="1" applyAlignment="1" applyProtection="1">
      <alignment horizontal="left" vertical="center" wrapText="1"/>
      <protection hidden="1"/>
    </xf>
    <xf numFmtId="0" fontId="191" fillId="14" borderId="0" xfId="0" applyFont="1" applyFill="1" applyBorder="1" applyAlignment="1" applyProtection="1">
      <alignment horizontal="left"/>
      <protection hidden="1"/>
    </xf>
    <xf numFmtId="0" fontId="191" fillId="14" borderId="0" xfId="0" applyFont="1" applyFill="1" applyBorder="1" applyAlignment="1" applyProtection="1">
      <alignment horizontal="left" vertical="center" wrapText="1"/>
      <protection hidden="1"/>
    </xf>
    <xf numFmtId="0" fontId="191" fillId="14" borderId="28" xfId="0" applyFont="1" applyFill="1" applyBorder="1" applyAlignment="1" applyProtection="1">
      <alignment horizontal="left" vertical="center" wrapText="1"/>
      <protection hidden="1"/>
    </xf>
    <xf numFmtId="0" fontId="99" fillId="17" borderId="23" xfId="0" applyFont="1" applyFill="1" applyBorder="1" applyAlignment="1" applyProtection="1">
      <alignment vertical="center"/>
      <protection hidden="1"/>
    </xf>
    <xf numFmtId="0" fontId="17" fillId="0" borderId="25" xfId="0" applyFont="1" applyFill="1" applyBorder="1" applyAlignment="1" applyProtection="1">
      <alignment horizontal="right" vertical="center" indent="1"/>
      <protection hidden="1"/>
    </xf>
    <xf numFmtId="0" fontId="10" fillId="7" borderId="6" xfId="0" applyFont="1" applyFill="1" applyBorder="1" applyAlignment="1" applyProtection="1">
      <alignment horizontal="right" vertical="center"/>
      <protection hidden="1"/>
    </xf>
    <xf numFmtId="0" fontId="171" fillId="0" borderId="31" xfId="0" applyFont="1" applyFill="1" applyBorder="1" applyAlignment="1" applyProtection="1">
      <alignment horizontal="center" vertical="center"/>
      <protection hidden="1"/>
    </xf>
    <xf numFmtId="49" fontId="104" fillId="18" borderId="5" xfId="0" applyNumberFormat="1" applyFont="1" applyFill="1" applyBorder="1" applyAlignment="1" applyProtection="1">
      <alignment horizontal="left"/>
      <protection locked="0"/>
    </xf>
    <xf numFmtId="0" fontId="104" fillId="18" borderId="5" xfId="0" applyFont="1" applyFill="1" applyBorder="1" applyProtection="1">
      <protection locked="0"/>
    </xf>
    <xf numFmtId="0" fontId="104" fillId="18" borderId="5" xfId="0" applyFont="1" applyFill="1" applyBorder="1" applyAlignment="1" applyProtection="1">
      <alignment vertical="center"/>
      <protection locked="0"/>
    </xf>
    <xf numFmtId="0" fontId="3" fillId="18" borderId="0" xfId="0" applyFont="1" applyFill="1" applyAlignment="1" applyProtection="1">
      <alignment horizontal="left" vertical="center"/>
      <protection hidden="1"/>
    </xf>
    <xf numFmtId="2" fontId="41" fillId="18" borderId="2" xfId="0" applyNumberFormat="1" applyFont="1" applyFill="1" applyBorder="1" applyAlignment="1" applyProtection="1">
      <alignment horizontal="center" vertical="center"/>
      <protection hidden="1"/>
    </xf>
    <xf numFmtId="2" fontId="41" fillId="18" borderId="7" xfId="0" applyNumberFormat="1" applyFont="1" applyFill="1" applyBorder="1" applyAlignment="1" applyProtection="1">
      <alignment horizontal="center" vertical="center"/>
      <protection hidden="1"/>
    </xf>
    <xf numFmtId="0" fontId="65" fillId="18" borderId="32" xfId="0" applyFont="1" applyFill="1" applyBorder="1" applyAlignment="1" applyProtection="1">
      <alignment vertical="center"/>
      <protection hidden="1"/>
    </xf>
    <xf numFmtId="164" fontId="17" fillId="17" borderId="23" xfId="0" applyNumberFormat="1" applyFont="1" applyFill="1" applyBorder="1" applyAlignment="1" applyProtection="1">
      <alignment horizontal="center" vertical="center"/>
      <protection hidden="1"/>
    </xf>
    <xf numFmtId="0" fontId="110" fillId="0" borderId="0" xfId="0" applyFont="1" applyFill="1" applyBorder="1" applyAlignment="1" applyProtection="1">
      <alignment horizontal="right" vertical="center"/>
      <protection hidden="1"/>
    </xf>
    <xf numFmtId="0" fontId="192" fillId="0" borderId="0" xfId="0" applyFont="1" applyFill="1" applyBorder="1" applyAlignment="1" applyProtection="1">
      <alignment horizontal="center" vertical="center"/>
      <protection hidden="1"/>
    </xf>
    <xf numFmtId="0" fontId="99" fillId="0" borderId="58" xfId="0" applyFont="1" applyFill="1" applyBorder="1" applyAlignment="1" applyProtection="1">
      <alignment vertical="center"/>
      <protection hidden="1"/>
    </xf>
    <xf numFmtId="0" fontId="15" fillId="0" borderId="17" xfId="0" applyFont="1" applyFill="1" applyBorder="1" applyAlignment="1" applyProtection="1">
      <alignment horizontal="right" vertical="center"/>
      <protection locked="0"/>
    </xf>
    <xf numFmtId="0" fontId="2" fillId="0" borderId="17" xfId="0" applyFont="1" applyFill="1" applyBorder="1" applyAlignment="1" applyProtection="1">
      <alignment horizontal="right" vertical="center"/>
      <protection locked="0"/>
    </xf>
    <xf numFmtId="0" fontId="2" fillId="0" borderId="49" xfId="0" applyFont="1" applyFill="1" applyBorder="1" applyAlignment="1" applyProtection="1">
      <alignment horizontal="right" vertical="center"/>
      <protection locked="0"/>
    </xf>
    <xf numFmtId="0" fontId="0" fillId="0" borderId="28" xfId="0" applyBorder="1"/>
    <xf numFmtId="0" fontId="3" fillId="18" borderId="24" xfId="0" applyFont="1" applyFill="1" applyBorder="1" applyAlignment="1" applyProtection="1">
      <alignment horizontal="right" vertical="center"/>
      <protection hidden="1"/>
    </xf>
    <xf numFmtId="0" fontId="3" fillId="18" borderId="9" xfId="0" applyFont="1" applyFill="1" applyBorder="1" applyAlignment="1" applyProtection="1">
      <alignment horizontal="left" vertical="center"/>
      <protection hidden="1"/>
    </xf>
    <xf numFmtId="0" fontId="3" fillId="18" borderId="33" xfId="0" applyFont="1" applyFill="1" applyBorder="1" applyAlignment="1" applyProtection="1">
      <alignment horizontal="left" vertical="center"/>
      <protection hidden="1"/>
    </xf>
    <xf numFmtId="0" fontId="3" fillId="18" borderId="3" xfId="0" applyFont="1" applyFill="1" applyBorder="1" applyAlignment="1" applyProtection="1">
      <alignment horizontal="right" vertical="center"/>
      <protection hidden="1"/>
    </xf>
    <xf numFmtId="0" fontId="3" fillId="18" borderId="8" xfId="0" applyFont="1" applyFill="1" applyBorder="1" applyAlignment="1" applyProtection="1">
      <alignment horizontal="right" vertical="center"/>
      <protection hidden="1"/>
    </xf>
    <xf numFmtId="0" fontId="14" fillId="18" borderId="0" xfId="0" applyFont="1" applyFill="1" applyBorder="1" applyAlignment="1" applyProtection="1">
      <alignment horizontal="left" vertical="center"/>
      <protection hidden="1"/>
    </xf>
    <xf numFmtId="0" fontId="2" fillId="7" borderId="156" xfId="0" applyFont="1" applyFill="1" applyBorder="1" applyAlignment="1" applyProtection="1">
      <alignment horizontal="center" vertical="center"/>
      <protection hidden="1"/>
    </xf>
    <xf numFmtId="0" fontId="2" fillId="18" borderId="0" xfId="0" applyFont="1" applyFill="1" applyBorder="1" applyAlignment="1" applyProtection="1">
      <alignment vertical="center"/>
      <protection hidden="1"/>
    </xf>
    <xf numFmtId="0" fontId="14" fillId="18" borderId="0" xfId="0" applyFont="1" applyFill="1" applyBorder="1" applyAlignment="1" applyProtection="1">
      <alignment vertical="center"/>
      <protection hidden="1"/>
    </xf>
    <xf numFmtId="0" fontId="2" fillId="7" borderId="179" xfId="0" applyFont="1" applyFill="1" applyBorder="1" applyAlignment="1" applyProtection="1">
      <alignment horizontal="center" vertical="center"/>
      <protection hidden="1"/>
    </xf>
    <xf numFmtId="0" fontId="2" fillId="7" borderId="180" xfId="0" applyFont="1" applyFill="1" applyBorder="1" applyAlignment="1" applyProtection="1">
      <alignment horizontal="center" vertical="center"/>
      <protection hidden="1"/>
    </xf>
    <xf numFmtId="0" fontId="10" fillId="18" borderId="5" xfId="0" applyFont="1" applyFill="1" applyBorder="1" applyAlignment="1" applyProtection="1">
      <alignment horizontal="right" vertical="center"/>
      <protection hidden="1"/>
    </xf>
    <xf numFmtId="0" fontId="10" fillId="18" borderId="12" xfId="0" applyFont="1" applyFill="1" applyBorder="1" applyAlignment="1" applyProtection="1">
      <alignment horizontal="right" vertical="center"/>
      <protection hidden="1"/>
    </xf>
    <xf numFmtId="0" fontId="10" fillId="18" borderId="6" xfId="0" applyFont="1" applyFill="1" applyBorder="1" applyAlignment="1" applyProtection="1">
      <alignment horizontal="right" vertical="center"/>
      <protection hidden="1"/>
    </xf>
    <xf numFmtId="0" fontId="65" fillId="18" borderId="32" xfId="0" applyFont="1" applyFill="1" applyBorder="1" applyAlignment="1" applyProtection="1">
      <alignment horizontal="left" vertical="center"/>
      <protection hidden="1"/>
    </xf>
    <xf numFmtId="0" fontId="3" fillId="18" borderId="14" xfId="0" applyFont="1" applyFill="1" applyBorder="1" applyAlignment="1" applyProtection="1">
      <alignment horizontal="right" vertical="center" wrapText="1"/>
      <protection hidden="1"/>
    </xf>
    <xf numFmtId="0" fontId="3" fillId="18" borderId="6" xfId="0" applyFont="1" applyFill="1" applyBorder="1" applyAlignment="1" applyProtection="1">
      <alignment horizontal="right" vertical="center" wrapText="1"/>
      <protection hidden="1"/>
    </xf>
    <xf numFmtId="0" fontId="65" fillId="18" borderId="34" xfId="0" applyFont="1" applyFill="1" applyBorder="1" applyAlignment="1" applyProtection="1">
      <alignment horizontal="left" vertical="center"/>
      <protection hidden="1"/>
    </xf>
    <xf numFmtId="0" fontId="2" fillId="18" borderId="17" xfId="0" applyFont="1" applyFill="1" applyBorder="1" applyAlignment="1" applyProtection="1">
      <alignment horizontal="right" vertical="center"/>
      <protection hidden="1"/>
    </xf>
    <xf numFmtId="0" fontId="16" fillId="0" borderId="262" xfId="0" applyFont="1" applyFill="1" applyBorder="1" applyAlignment="1" applyProtection="1">
      <alignment horizontal="right" vertical="center"/>
      <protection hidden="1"/>
    </xf>
    <xf numFmtId="0" fontId="10" fillId="0" borderId="29" xfId="0" applyFont="1" applyFill="1" applyBorder="1" applyAlignment="1" applyProtection="1">
      <alignment horizontal="right" vertical="center" wrapText="1"/>
      <protection hidden="1"/>
    </xf>
    <xf numFmtId="0" fontId="111" fillId="0" borderId="0" xfId="0" applyFont="1" applyFill="1" applyBorder="1" applyAlignment="1" applyProtection="1">
      <alignment horizontal="right" vertical="center"/>
      <protection hidden="1"/>
    </xf>
    <xf numFmtId="0" fontId="125" fillId="19" borderId="49" xfId="0" applyFont="1" applyFill="1" applyBorder="1" applyAlignment="1" applyProtection="1">
      <alignment horizontal="center" vertical="center" wrapText="1"/>
      <protection hidden="1"/>
    </xf>
    <xf numFmtId="0" fontId="172" fillId="19" borderId="49" xfId="0" applyFont="1" applyFill="1" applyBorder="1" applyAlignment="1" applyProtection="1">
      <alignment horizontal="right" vertical="center"/>
      <protection hidden="1"/>
    </xf>
    <xf numFmtId="0" fontId="172" fillId="19" borderId="24" xfId="0" applyFont="1" applyFill="1" applyBorder="1" applyAlignment="1" applyProtection="1">
      <alignment horizontal="right" vertical="center"/>
      <protection hidden="1"/>
    </xf>
    <xf numFmtId="0" fontId="172" fillId="19" borderId="102" xfId="0" applyFont="1" applyFill="1" applyBorder="1" applyAlignment="1" applyProtection="1">
      <alignment horizontal="left" vertical="center"/>
      <protection hidden="1"/>
    </xf>
    <xf numFmtId="0" fontId="172" fillId="19" borderId="22" xfId="0" applyFont="1" applyFill="1" applyBorder="1" applyAlignment="1" applyProtection="1">
      <alignment horizontal="left" vertical="center"/>
      <protection hidden="1"/>
    </xf>
    <xf numFmtId="0" fontId="16" fillId="0" borderId="160" xfId="0" applyFont="1" applyFill="1" applyBorder="1" applyAlignment="1" applyProtection="1">
      <alignment horizontal="right" vertical="center"/>
      <protection hidden="1"/>
    </xf>
    <xf numFmtId="0" fontId="16" fillId="0" borderId="50" xfId="0" applyFont="1" applyFill="1" applyBorder="1" applyAlignment="1" applyProtection="1">
      <alignment horizontal="right" vertical="center"/>
      <protection hidden="1"/>
    </xf>
    <xf numFmtId="0" fontId="10" fillId="0" borderId="153" xfId="0" applyFont="1" applyFill="1" applyBorder="1" applyAlignment="1" applyProtection="1">
      <alignment horizontal="left" vertical="center" wrapText="1" indent="1"/>
      <protection hidden="1"/>
    </xf>
    <xf numFmtId="0" fontId="10" fillId="0" borderId="49" xfId="0" applyFont="1" applyFill="1" applyBorder="1" applyAlignment="1" applyProtection="1">
      <alignment horizontal="left" vertical="center" wrapText="1" indent="1"/>
      <protection hidden="1"/>
    </xf>
    <xf numFmtId="0" fontId="172" fillId="19" borderId="0" xfId="0" applyFont="1" applyFill="1" applyBorder="1" applyAlignment="1" applyProtection="1">
      <alignment horizontal="right" vertical="center"/>
      <protection hidden="1"/>
    </xf>
    <xf numFmtId="0" fontId="172" fillId="19" borderId="28" xfId="0" applyFont="1" applyFill="1" applyBorder="1" applyAlignment="1" applyProtection="1">
      <alignment horizontal="left" vertical="center"/>
      <protection hidden="1"/>
    </xf>
    <xf numFmtId="0" fontId="10" fillId="0" borderId="27" xfId="0" applyFont="1" applyFill="1" applyBorder="1" applyAlignment="1" applyProtection="1">
      <alignment horizontal="left" vertical="center" wrapText="1" indent="1"/>
      <protection hidden="1"/>
    </xf>
    <xf numFmtId="0" fontId="10" fillId="0" borderId="24" xfId="0" applyFont="1" applyFill="1" applyBorder="1" applyAlignment="1" applyProtection="1">
      <alignment horizontal="left" vertical="center" wrapText="1" indent="1"/>
      <protection hidden="1"/>
    </xf>
    <xf numFmtId="0" fontId="136" fillId="0" borderId="0" xfId="0" applyFont="1" applyFill="1" applyAlignment="1" applyProtection="1">
      <alignment vertical="center" wrapText="1"/>
      <protection hidden="1"/>
    </xf>
    <xf numFmtId="0" fontId="3" fillId="18" borderId="10" xfId="0" applyFont="1" applyFill="1" applyBorder="1" applyAlignment="1" applyProtection="1">
      <alignment horizontal="right" vertical="center"/>
      <protection hidden="1"/>
    </xf>
    <xf numFmtId="0" fontId="3" fillId="18" borderId="9" xfId="0" applyFont="1" applyFill="1" applyBorder="1" applyAlignment="1" applyProtection="1">
      <alignment horizontal="right" vertical="center"/>
      <protection hidden="1"/>
    </xf>
    <xf numFmtId="0" fontId="3" fillId="18" borderId="14" xfId="0" applyFont="1" applyFill="1" applyBorder="1" applyAlignment="1" applyProtection="1">
      <alignment horizontal="right" vertical="center"/>
      <protection hidden="1"/>
    </xf>
    <xf numFmtId="49" fontId="171" fillId="12" borderId="21" xfId="0" applyNumberFormat="1" applyFont="1" applyFill="1" applyBorder="1" applyAlignment="1" applyProtection="1">
      <alignment horizontal="left" vertical="center"/>
      <protection locked="0"/>
    </xf>
    <xf numFmtId="49" fontId="171" fillId="12" borderId="3" xfId="0" applyNumberFormat="1" applyFont="1" applyFill="1" applyBorder="1" applyAlignment="1" applyProtection="1">
      <alignment horizontal="left" vertical="center"/>
      <protection locked="0"/>
    </xf>
    <xf numFmtId="49" fontId="171" fillId="12" borderId="264" xfId="0" applyNumberFormat="1" applyFont="1" applyFill="1" applyBorder="1" applyAlignment="1" applyProtection="1">
      <alignment horizontal="left" vertical="center"/>
      <protection locked="0"/>
    </xf>
    <xf numFmtId="0" fontId="3" fillId="18" borderId="61" xfId="0" applyFont="1" applyFill="1" applyBorder="1" applyAlignment="1" applyProtection="1">
      <alignment horizontal="right" vertical="center"/>
      <protection hidden="1"/>
    </xf>
    <xf numFmtId="0" fontId="3" fillId="18" borderId="5" xfId="0" applyFont="1" applyFill="1" applyBorder="1" applyAlignment="1" applyProtection="1">
      <alignment horizontal="right" vertical="center"/>
      <protection hidden="1"/>
    </xf>
    <xf numFmtId="0" fontId="3" fillId="18" borderId="45" xfId="0" applyFont="1" applyFill="1" applyBorder="1" applyAlignment="1" applyProtection="1">
      <alignment horizontal="right" vertical="center"/>
      <protection hidden="1"/>
    </xf>
    <xf numFmtId="49" fontId="88" fillId="12" borderId="17" xfId="0" applyNumberFormat="1" applyFont="1" applyFill="1" applyBorder="1" applyAlignment="1" applyProtection="1">
      <alignment horizontal="left" vertical="center"/>
      <protection locked="0"/>
    </xf>
    <xf numFmtId="49" fontId="171" fillId="12" borderId="9" xfId="0" applyNumberFormat="1" applyFont="1" applyFill="1" applyBorder="1" applyAlignment="1" applyProtection="1">
      <alignment horizontal="left" vertical="center"/>
      <protection locked="0"/>
    </xf>
    <xf numFmtId="49" fontId="171" fillId="12" borderId="8" xfId="0" applyNumberFormat="1" applyFont="1" applyFill="1" applyBorder="1" applyAlignment="1" applyProtection="1">
      <alignment horizontal="left" vertical="center"/>
      <protection locked="0"/>
    </xf>
    <xf numFmtId="49" fontId="171" fillId="12" borderId="260" xfId="0" applyNumberFormat="1" applyFont="1" applyFill="1" applyBorder="1" applyAlignment="1" applyProtection="1">
      <alignment horizontal="left" vertical="center"/>
      <protection locked="0"/>
    </xf>
    <xf numFmtId="0" fontId="45" fillId="18" borderId="111" xfId="0" applyFont="1" applyFill="1" applyBorder="1" applyAlignment="1" applyProtection="1">
      <alignment horizontal="center"/>
      <protection hidden="1"/>
    </xf>
    <xf numFmtId="175" fontId="171" fillId="12" borderId="242" xfId="0" applyNumberFormat="1" applyFont="1" applyFill="1" applyBorder="1" applyAlignment="1" applyProtection="1">
      <alignment horizontal="center" vertical="center"/>
      <protection locked="0"/>
    </xf>
    <xf numFmtId="0" fontId="171" fillId="12" borderId="8" xfId="0" applyFont="1" applyFill="1" applyBorder="1" applyAlignment="1" applyProtection="1">
      <alignment horizontal="left" vertical="center"/>
      <protection locked="0"/>
    </xf>
    <xf numFmtId="0" fontId="99" fillId="12" borderId="0" xfId="0" applyFont="1" applyFill="1" applyAlignment="1" applyProtection="1">
      <alignment vertical="center"/>
      <protection hidden="1"/>
    </xf>
    <xf numFmtId="0" fontId="3" fillId="18" borderId="0" xfId="0" applyFont="1" applyFill="1" applyBorder="1" applyAlignment="1" applyProtection="1">
      <alignment vertical="center"/>
      <protection hidden="1"/>
    </xf>
    <xf numFmtId="0" fontId="171" fillId="15" borderId="31" xfId="0" applyFont="1" applyFill="1" applyBorder="1" applyAlignment="1" applyProtection="1">
      <alignment horizontal="center" vertical="center"/>
      <protection hidden="1"/>
    </xf>
    <xf numFmtId="0" fontId="175" fillId="15" borderId="7" xfId="0" applyFont="1" applyFill="1" applyBorder="1" applyAlignment="1" applyProtection="1">
      <alignment horizontal="center" vertical="center" wrapText="1"/>
      <protection hidden="1"/>
    </xf>
    <xf numFmtId="0" fontId="111" fillId="15" borderId="1" xfId="0" applyNumberFormat="1" applyFont="1" applyFill="1" applyBorder="1" applyAlignment="1" applyProtection="1">
      <alignment horizontal="center" vertical="center"/>
      <protection hidden="1"/>
    </xf>
    <xf numFmtId="0" fontId="171" fillId="12" borderId="91" xfId="0" applyFont="1" applyFill="1" applyBorder="1" applyAlignment="1" applyProtection="1">
      <alignment horizontal="left" vertical="center"/>
      <protection locked="0"/>
    </xf>
    <xf numFmtId="2" fontId="158" fillId="7" borderId="242" xfId="0" applyNumberFormat="1" applyFont="1" applyFill="1" applyBorder="1" applyAlignment="1" applyProtection="1">
      <alignment horizontal="center" vertical="center"/>
      <protection hidden="1"/>
    </xf>
    <xf numFmtId="0" fontId="45" fillId="17" borderId="148" xfId="0" applyFont="1" applyFill="1" applyBorder="1" applyAlignment="1">
      <alignment horizontal="center"/>
    </xf>
    <xf numFmtId="0" fontId="45" fillId="17" borderId="102" xfId="0" applyFont="1" applyFill="1" applyBorder="1" applyAlignment="1">
      <alignment horizontal="center" vertical="center" wrapText="1"/>
    </xf>
    <xf numFmtId="0" fontId="45" fillId="0" borderId="28" xfId="0" applyFont="1" applyBorder="1" applyAlignment="1">
      <alignment horizontal="center" vertical="center" wrapText="1"/>
    </xf>
    <xf numFmtId="0" fontId="0" fillId="0" borderId="0" xfId="0" applyBorder="1"/>
    <xf numFmtId="0" fontId="65" fillId="0" borderId="22" xfId="0" applyFont="1" applyBorder="1" applyAlignment="1">
      <alignment horizontal="right" vertical="center"/>
    </xf>
    <xf numFmtId="0" fontId="10" fillId="0" borderId="47" xfId="0" applyFont="1" applyBorder="1" applyAlignment="1">
      <alignment horizontal="right" vertical="top"/>
    </xf>
    <xf numFmtId="0" fontId="15" fillId="0" borderId="43" xfId="2" applyFont="1" applyFill="1" applyBorder="1" applyAlignment="1" applyProtection="1">
      <alignment horizontal="right" vertical="center"/>
      <protection hidden="1"/>
    </xf>
    <xf numFmtId="0" fontId="15" fillId="0" borderId="3" xfId="2" applyFont="1" applyFill="1" applyBorder="1" applyAlignment="1" applyProtection="1">
      <alignment horizontal="right" vertical="center"/>
      <protection hidden="1"/>
    </xf>
    <xf numFmtId="0" fontId="2" fillId="0" borderId="3" xfId="2" applyFont="1" applyFill="1" applyBorder="1" applyAlignment="1" applyProtection="1">
      <alignment horizontal="right" vertical="center"/>
      <protection hidden="1"/>
    </xf>
    <xf numFmtId="0" fontId="99" fillId="0" borderId="0" xfId="2" applyFont="1" applyFill="1" applyAlignment="1" applyProtection="1">
      <alignment vertical="center"/>
      <protection hidden="1"/>
    </xf>
    <xf numFmtId="0" fontId="15" fillId="0" borderId="24" xfId="2" applyFont="1" applyFill="1" applyBorder="1" applyAlignment="1" applyProtection="1">
      <alignment horizontal="right" vertical="center"/>
      <protection hidden="1"/>
    </xf>
    <xf numFmtId="0" fontId="2" fillId="0" borderId="0" xfId="2" applyFont="1" applyFill="1" applyBorder="1" applyAlignment="1" applyProtection="1">
      <alignment horizontal="right" vertical="center"/>
      <protection hidden="1"/>
    </xf>
    <xf numFmtId="0" fontId="47" fillId="14" borderId="49" xfId="2" applyFont="1" applyFill="1" applyBorder="1" applyAlignment="1" applyProtection="1">
      <alignment horizontal="center" vertical="center"/>
      <protection hidden="1"/>
    </xf>
    <xf numFmtId="0" fontId="47" fillId="14" borderId="102" xfId="2" applyFont="1" applyFill="1" applyBorder="1" applyAlignment="1" applyProtection="1">
      <alignment horizontal="center" vertical="center"/>
      <protection hidden="1"/>
    </xf>
    <xf numFmtId="0" fontId="197" fillId="0" borderId="31" xfId="2" applyFont="1" applyFill="1" applyBorder="1" applyAlignment="1" applyProtection="1">
      <alignment horizontal="center" vertical="center"/>
      <protection hidden="1"/>
    </xf>
    <xf numFmtId="0" fontId="10" fillId="7" borderId="25" xfId="2" applyFont="1" applyFill="1" applyBorder="1" applyAlignment="1" applyProtection="1">
      <alignment horizontal="right" vertical="center"/>
      <protection hidden="1"/>
    </xf>
    <xf numFmtId="0" fontId="99" fillId="12" borderId="17" xfId="2" applyFont="1" applyFill="1" applyBorder="1" applyAlignment="1" applyProtection="1">
      <alignment vertical="center"/>
      <protection hidden="1"/>
    </xf>
    <xf numFmtId="0" fontId="99" fillId="12" borderId="254" xfId="2" applyFont="1" applyFill="1" applyBorder="1" applyAlignment="1" applyProtection="1">
      <alignment vertical="center"/>
      <protection hidden="1"/>
    </xf>
    <xf numFmtId="0" fontId="72" fillId="7" borderId="248" xfId="2" applyFont="1" applyFill="1" applyBorder="1" applyAlignment="1" applyProtection="1">
      <alignment horizontal="center"/>
      <protection hidden="1"/>
    </xf>
    <xf numFmtId="0" fontId="72" fillId="7" borderId="5" xfId="2" applyFont="1" applyFill="1" applyBorder="1" applyAlignment="1" applyProtection="1">
      <alignment horizontal="center"/>
      <protection hidden="1"/>
    </xf>
    <xf numFmtId="0" fontId="72" fillId="7" borderId="1" xfId="2" applyFont="1" applyFill="1" applyBorder="1" applyAlignment="1" applyProtection="1">
      <alignment horizontal="center"/>
      <protection hidden="1"/>
    </xf>
    <xf numFmtId="0" fontId="72" fillId="7" borderId="30" xfId="2" applyFont="1" applyFill="1" applyBorder="1" applyAlignment="1" applyProtection="1">
      <alignment horizontal="center"/>
      <protection hidden="1"/>
    </xf>
    <xf numFmtId="0" fontId="10" fillId="0" borderId="258" xfId="2" applyFont="1" applyFill="1" applyBorder="1" applyAlignment="1" applyProtection="1">
      <alignment horizontal="center" vertical="center"/>
      <protection hidden="1"/>
    </xf>
    <xf numFmtId="0" fontId="158" fillId="7" borderId="31" xfId="2" applyFont="1" applyFill="1" applyBorder="1" applyAlignment="1" applyProtection="1">
      <alignment horizontal="center" vertical="center"/>
      <protection hidden="1"/>
    </xf>
    <xf numFmtId="0" fontId="104" fillId="0" borderId="51" xfId="2" applyFont="1" applyFill="1" applyBorder="1" applyAlignment="1" applyProtection="1">
      <alignment horizontal="center" vertical="center"/>
      <protection hidden="1"/>
    </xf>
    <xf numFmtId="0" fontId="158" fillId="7" borderId="0" xfId="2" applyFont="1" applyFill="1" applyBorder="1" applyAlignment="1" applyProtection="1">
      <alignment horizontal="center" vertical="center"/>
      <protection hidden="1"/>
    </xf>
    <xf numFmtId="0" fontId="158" fillId="7" borderId="14" xfId="2" applyFont="1" applyFill="1" applyBorder="1" applyAlignment="1" applyProtection="1">
      <alignment horizontal="center" vertical="center" wrapText="1"/>
      <protection hidden="1"/>
    </xf>
    <xf numFmtId="0" fontId="158" fillId="7" borderId="151" xfId="2" applyFont="1" applyFill="1" applyBorder="1" applyAlignment="1" applyProtection="1">
      <alignment horizontal="center" vertical="center"/>
      <protection hidden="1"/>
    </xf>
    <xf numFmtId="0" fontId="104" fillId="0" borderId="24" xfId="2" applyFont="1" applyFill="1" applyBorder="1" applyAlignment="1" applyProtection="1">
      <alignment horizontal="center" vertical="center"/>
      <protection hidden="1"/>
    </xf>
    <xf numFmtId="0" fontId="104" fillId="0" borderId="26" xfId="2" applyFont="1" applyFill="1" applyBorder="1" applyAlignment="1" applyProtection="1">
      <alignment horizontal="center" vertical="center"/>
      <protection hidden="1"/>
    </xf>
    <xf numFmtId="0" fontId="104" fillId="0" borderId="7" xfId="2" applyFont="1" applyFill="1" applyBorder="1" applyAlignment="1" applyProtection="1">
      <alignment horizontal="center" vertical="center"/>
      <protection hidden="1"/>
    </xf>
    <xf numFmtId="0" fontId="104" fillId="0" borderId="27" xfId="2" applyFont="1" applyFill="1" applyBorder="1" applyAlignment="1" applyProtection="1">
      <alignment horizontal="center" vertical="center" wrapText="1"/>
      <protection hidden="1"/>
    </xf>
    <xf numFmtId="49" fontId="104" fillId="0" borderId="124" xfId="2" applyNumberFormat="1" applyFont="1" applyFill="1" applyBorder="1" applyAlignment="1" applyProtection="1">
      <alignment horizontal="center" vertical="center"/>
      <protection hidden="1"/>
    </xf>
    <xf numFmtId="49" fontId="158" fillId="7" borderId="31" xfId="2" applyNumberFormat="1" applyFont="1" applyFill="1" applyBorder="1" applyAlignment="1" applyProtection="1">
      <alignment horizontal="center" vertical="center"/>
      <protection hidden="1"/>
    </xf>
    <xf numFmtId="0" fontId="158" fillId="7" borderId="31" xfId="2" applyFont="1" applyFill="1" applyBorder="1" applyAlignment="1" applyProtection="1">
      <alignment horizontal="center" vertical="center" wrapText="1"/>
      <protection hidden="1"/>
    </xf>
    <xf numFmtId="0" fontId="158" fillId="7" borderId="21" xfId="2" applyFont="1" applyFill="1" applyBorder="1" applyAlignment="1" applyProtection="1">
      <alignment horizontal="center" vertical="center" wrapText="1"/>
      <protection hidden="1"/>
    </xf>
    <xf numFmtId="2" fontId="158" fillId="7" borderId="103" xfId="2" applyNumberFormat="1" applyFont="1" applyFill="1" applyBorder="1" applyAlignment="1" applyProtection="1">
      <alignment horizontal="center" vertical="center"/>
      <protection hidden="1"/>
    </xf>
    <xf numFmtId="0" fontId="104" fillId="0" borderId="25" xfId="2" applyFont="1" applyFill="1" applyBorder="1" applyAlignment="1" applyProtection="1">
      <alignment horizontal="center" vertical="center"/>
      <protection hidden="1"/>
    </xf>
    <xf numFmtId="0" fontId="104" fillId="0" borderId="26" xfId="2" applyFont="1" applyFill="1" applyBorder="1" applyAlignment="1" applyProtection="1">
      <alignment horizontal="center" vertical="center" wrapText="1"/>
      <protection hidden="1"/>
    </xf>
    <xf numFmtId="0" fontId="104" fillId="0" borderId="7" xfId="2" applyFont="1" applyFill="1" applyBorder="1" applyAlignment="1" applyProtection="1">
      <alignment horizontal="center" vertical="center" wrapText="1"/>
      <protection hidden="1"/>
    </xf>
    <xf numFmtId="0" fontId="104" fillId="0" borderId="9" xfId="2" applyFont="1" applyFill="1" applyBorder="1" applyAlignment="1" applyProtection="1">
      <alignment horizontal="center" vertical="center"/>
      <protection hidden="1"/>
    </xf>
    <xf numFmtId="0" fontId="158" fillId="3" borderId="31" xfId="2" applyFont="1" applyFill="1" applyBorder="1" applyAlignment="1" applyProtection="1">
      <alignment horizontal="center" vertical="center"/>
      <protection hidden="1"/>
    </xf>
    <xf numFmtId="0" fontId="158" fillId="3" borderId="31" xfId="2" applyFont="1" applyFill="1" applyBorder="1" applyAlignment="1" applyProtection="1">
      <alignment horizontal="center" vertical="center" wrapText="1"/>
      <protection hidden="1"/>
    </xf>
    <xf numFmtId="0" fontId="158" fillId="3" borderId="2" xfId="2" applyFont="1" applyFill="1" applyBorder="1" applyAlignment="1" applyProtection="1">
      <alignment horizontal="center" vertical="center"/>
      <protection hidden="1"/>
    </xf>
    <xf numFmtId="0" fontId="158" fillId="7" borderId="21" xfId="2" applyFont="1" applyFill="1" applyBorder="1" applyAlignment="1" applyProtection="1">
      <alignment horizontal="center" vertical="center"/>
      <protection hidden="1"/>
    </xf>
    <xf numFmtId="0" fontId="158" fillId="7" borderId="19" xfId="2" applyFont="1" applyFill="1" applyBorder="1" applyAlignment="1" applyProtection="1">
      <alignment horizontal="center" vertical="center"/>
      <protection hidden="1"/>
    </xf>
    <xf numFmtId="0" fontId="158" fillId="7" borderId="103" xfId="2" applyFont="1" applyFill="1" applyBorder="1" applyAlignment="1" applyProtection="1">
      <alignment horizontal="center" vertical="center"/>
      <protection hidden="1"/>
    </xf>
    <xf numFmtId="0" fontId="104" fillId="0" borderId="124" xfId="2" applyFont="1" applyFill="1" applyBorder="1" applyAlignment="1" applyProtection="1">
      <alignment horizontal="center" vertical="center"/>
      <protection hidden="1"/>
    </xf>
    <xf numFmtId="49" fontId="158" fillId="7" borderId="31" xfId="2" applyNumberFormat="1" applyFont="1" applyFill="1" applyBorder="1" applyAlignment="1" applyProtection="1">
      <alignment horizontal="center" vertical="center" wrapText="1"/>
      <protection hidden="1"/>
    </xf>
    <xf numFmtId="49" fontId="158" fillId="7" borderId="21" xfId="2" applyNumberFormat="1" applyFont="1" applyFill="1" applyBorder="1" applyAlignment="1" applyProtection="1">
      <alignment horizontal="center" vertical="center" wrapText="1"/>
      <protection hidden="1"/>
    </xf>
    <xf numFmtId="49" fontId="158" fillId="7" borderId="103" xfId="2" applyNumberFormat="1" applyFont="1" applyFill="1" applyBorder="1" applyAlignment="1" applyProtection="1">
      <alignment horizontal="center" vertical="center"/>
      <protection hidden="1"/>
    </xf>
    <xf numFmtId="0" fontId="158" fillId="3" borderId="2" xfId="2" applyFont="1" applyFill="1" applyBorder="1" applyAlignment="1" applyProtection="1">
      <alignment horizontal="center" vertical="center" wrapText="1"/>
      <protection hidden="1"/>
    </xf>
    <xf numFmtId="0" fontId="158" fillId="3" borderId="19" xfId="2" applyFont="1" applyFill="1" applyBorder="1" applyAlignment="1" applyProtection="1">
      <alignment horizontal="center" vertical="center"/>
      <protection hidden="1"/>
    </xf>
    <xf numFmtId="0" fontId="158" fillId="3" borderId="21" xfId="2" applyFont="1" applyFill="1" applyBorder="1" applyAlignment="1" applyProtection="1">
      <alignment horizontal="center" vertical="center"/>
      <protection hidden="1"/>
    </xf>
    <xf numFmtId="0" fontId="158" fillId="3" borderId="103" xfId="2" applyFont="1" applyFill="1" applyBorder="1" applyAlignment="1" applyProtection="1">
      <alignment horizontal="center" vertical="center"/>
      <protection hidden="1"/>
    </xf>
    <xf numFmtId="0" fontId="115" fillId="0" borderId="7" xfId="2" applyFont="1" applyFill="1" applyBorder="1" applyAlignment="1" applyProtection="1">
      <alignment horizontal="center" vertical="center" wrapText="1"/>
      <protection hidden="1"/>
    </xf>
    <xf numFmtId="49" fontId="158" fillId="3" borderId="31" xfId="2" applyNumberFormat="1" applyFont="1" applyFill="1" applyBorder="1" applyAlignment="1" applyProtection="1">
      <alignment horizontal="center" vertical="center"/>
      <protection hidden="1"/>
    </xf>
    <xf numFmtId="0" fontId="158" fillId="3" borderId="31" xfId="2" applyFont="1" applyFill="1" applyBorder="1" applyAlignment="1" applyProtection="1">
      <alignment horizontal="left" vertical="center"/>
      <protection hidden="1"/>
    </xf>
    <xf numFmtId="0" fontId="99" fillId="0" borderId="49" xfId="2" applyFont="1" applyFill="1" applyBorder="1" applyAlignment="1" applyProtection="1">
      <alignment vertical="center"/>
      <protection hidden="1"/>
    </xf>
    <xf numFmtId="0" fontId="99" fillId="0" borderId="102" xfId="2" applyFont="1" applyFill="1" applyBorder="1" applyAlignment="1" applyProtection="1">
      <alignment vertical="center"/>
      <protection hidden="1"/>
    </xf>
    <xf numFmtId="0" fontId="104" fillId="0" borderId="1" xfId="2" applyFont="1" applyFill="1" applyBorder="1" applyAlignment="1" applyProtection="1">
      <alignment horizontal="center" vertical="center"/>
      <protection hidden="1"/>
    </xf>
    <xf numFmtId="0" fontId="115" fillId="0" borderId="1" xfId="2" applyFont="1" applyFill="1" applyBorder="1" applyAlignment="1" applyProtection="1">
      <alignment horizontal="center" vertical="center"/>
      <protection hidden="1"/>
    </xf>
    <xf numFmtId="0" fontId="104" fillId="0" borderId="1" xfId="2" applyNumberFormat="1" applyFont="1" applyFill="1" applyBorder="1" applyAlignment="1" applyProtection="1">
      <alignment horizontal="center" vertical="center"/>
      <protection hidden="1"/>
    </xf>
    <xf numFmtId="49" fontId="104" fillId="0" borderId="1" xfId="2" applyNumberFormat="1" applyFont="1" applyFill="1" applyBorder="1" applyAlignment="1" applyProtection="1">
      <alignment horizontal="center" vertical="center"/>
      <protection hidden="1"/>
    </xf>
    <xf numFmtId="0" fontId="158" fillId="3" borderId="10" xfId="2" applyFont="1" applyFill="1" applyBorder="1" applyAlignment="1" applyProtection="1">
      <alignment vertical="center"/>
      <protection hidden="1"/>
    </xf>
    <xf numFmtId="0" fontId="158" fillId="3" borderId="12" xfId="2" applyFont="1" applyFill="1" applyBorder="1" applyAlignment="1" applyProtection="1">
      <alignment vertical="center"/>
      <protection hidden="1"/>
    </xf>
    <xf numFmtId="0" fontId="99" fillId="0" borderId="0" xfId="2" applyFont="1" applyFill="1" applyBorder="1" applyAlignment="1" applyProtection="1">
      <alignment horizontal="left" vertical="center"/>
      <protection hidden="1"/>
    </xf>
    <xf numFmtId="0" fontId="115" fillId="0" borderId="26" xfId="2" applyFont="1" applyFill="1" applyBorder="1" applyAlignment="1" applyProtection="1">
      <alignment horizontal="center" vertical="center"/>
      <protection hidden="1"/>
    </xf>
    <xf numFmtId="0" fontId="99" fillId="0" borderId="27" xfId="2" applyFont="1" applyFill="1" applyBorder="1" applyAlignment="1" applyProtection="1">
      <alignment horizontal="left" vertical="center"/>
      <protection hidden="1"/>
    </xf>
    <xf numFmtId="0" fontId="99" fillId="0" borderId="24" xfId="2" applyFont="1" applyFill="1" applyBorder="1" applyAlignment="1" applyProtection="1">
      <alignment horizontal="left" vertical="center"/>
      <protection hidden="1"/>
    </xf>
    <xf numFmtId="0" fontId="17" fillId="0" borderId="22" xfId="2" applyFont="1" applyFill="1" applyBorder="1" applyAlignment="1" applyProtection="1">
      <alignment horizontal="left" vertical="center"/>
      <protection hidden="1"/>
    </xf>
    <xf numFmtId="0" fontId="158" fillId="3" borderId="152" xfId="2" applyFont="1" applyFill="1" applyBorder="1" applyAlignment="1" applyProtection="1">
      <alignment horizontal="center" vertical="center"/>
      <protection hidden="1"/>
    </xf>
    <xf numFmtId="0" fontId="120" fillId="0" borderId="153" xfId="2" applyFont="1" applyFill="1" applyBorder="1" applyAlignment="1" applyProtection="1">
      <alignment horizontal="right" vertical="center" wrapText="1"/>
      <protection hidden="1"/>
    </xf>
    <xf numFmtId="0" fontId="120" fillId="0" borderId="49" xfId="2" applyFont="1" applyFill="1" applyBorder="1" applyAlignment="1" applyProtection="1">
      <alignment horizontal="right" vertical="center" wrapText="1"/>
      <protection hidden="1"/>
    </xf>
    <xf numFmtId="0" fontId="17" fillId="0" borderId="28" xfId="2" applyFont="1" applyFill="1" applyBorder="1" applyAlignment="1" applyProtection="1">
      <alignment horizontal="left" vertical="center"/>
      <protection hidden="1"/>
    </xf>
    <xf numFmtId="0" fontId="10" fillId="0" borderId="14" xfId="2" applyFont="1" applyFill="1" applyBorder="1" applyAlignment="1" applyProtection="1">
      <alignment horizontal="center" vertical="center" wrapText="1"/>
      <protection hidden="1"/>
    </xf>
    <xf numFmtId="0" fontId="10" fillId="0" borderId="6" xfId="2" applyFont="1" applyFill="1" applyBorder="1" applyAlignment="1" applyProtection="1">
      <alignment horizontal="left" wrapText="1"/>
      <protection hidden="1"/>
    </xf>
    <xf numFmtId="0" fontId="104" fillId="0" borderId="1" xfId="2" applyFont="1" applyFill="1" applyBorder="1" applyAlignment="1" applyProtection="1">
      <alignment horizontal="center" vertical="center" wrapText="1"/>
      <protection hidden="1"/>
    </xf>
    <xf numFmtId="0" fontId="104" fillId="0" borderId="6" xfId="2" applyFont="1" applyFill="1" applyBorder="1" applyAlignment="1" applyProtection="1">
      <alignment horizontal="center" vertical="center"/>
      <protection hidden="1"/>
    </xf>
    <xf numFmtId="0" fontId="120" fillId="0" borderId="14" xfId="2" applyFont="1" applyFill="1" applyBorder="1" applyAlignment="1" applyProtection="1">
      <alignment horizontal="right" vertical="center" wrapText="1"/>
      <protection hidden="1"/>
    </xf>
    <xf numFmtId="0" fontId="120" fillId="0" borderId="16" xfId="2" applyFont="1" applyFill="1" applyBorder="1" applyAlignment="1" applyProtection="1">
      <alignment horizontal="right" vertical="center" wrapText="1"/>
      <protection hidden="1"/>
    </xf>
    <xf numFmtId="0" fontId="121" fillId="0" borderId="18" xfId="2" applyFont="1" applyFill="1" applyBorder="1" applyAlignment="1" applyProtection="1">
      <alignment horizontal="center" vertical="center"/>
      <protection hidden="1"/>
    </xf>
    <xf numFmtId="0" fontId="10" fillId="0" borderId="163" xfId="2" applyFont="1" applyFill="1" applyBorder="1" applyAlignment="1" applyProtection="1">
      <alignment horizontal="left" wrapText="1"/>
      <protection hidden="1"/>
    </xf>
    <xf numFmtId="0" fontId="204" fillId="7" borderId="163" xfId="2" applyFont="1" applyFill="1" applyBorder="1" applyAlignment="1" applyProtection="1">
      <alignment horizontal="center" wrapText="1"/>
      <protection hidden="1"/>
    </xf>
    <xf numFmtId="0" fontId="158" fillId="3" borderId="1" xfId="2" applyFont="1" applyFill="1" applyBorder="1" applyAlignment="1" applyProtection="1">
      <alignment horizontal="center" vertical="center" wrapText="1"/>
      <protection hidden="1"/>
    </xf>
    <xf numFmtId="0" fontId="158" fillId="3" borderId="1" xfId="2" applyFont="1" applyFill="1" applyBorder="1" applyAlignment="1" applyProtection="1">
      <alignment horizontal="center" vertical="center"/>
      <protection hidden="1"/>
    </xf>
    <xf numFmtId="0" fontId="158" fillId="3" borderId="10" xfId="2" applyFont="1" applyFill="1" applyBorder="1" applyAlignment="1" applyProtection="1">
      <alignment horizontal="center" vertical="center"/>
      <protection hidden="1"/>
    </xf>
    <xf numFmtId="0" fontId="158" fillId="3" borderId="30" xfId="2" applyFont="1" applyFill="1" applyBorder="1" applyAlignment="1" applyProtection="1">
      <alignment horizontal="center" vertical="center"/>
      <protection hidden="1"/>
    </xf>
    <xf numFmtId="0" fontId="10" fillId="0" borderId="26" xfId="2" applyFont="1" applyFill="1" applyBorder="1" applyAlignment="1" applyProtection="1">
      <alignment horizontal="left" vertical="center" wrapText="1"/>
      <protection hidden="1"/>
    </xf>
    <xf numFmtId="0" fontId="204" fillId="7" borderId="26" xfId="2" applyFont="1" applyFill="1" applyBorder="1" applyAlignment="1" applyProtection="1">
      <alignment horizontal="right" vertical="top"/>
      <protection hidden="1"/>
    </xf>
    <xf numFmtId="0" fontId="104" fillId="0" borderId="9" xfId="2" applyFont="1" applyFill="1" applyBorder="1" applyAlignment="1" applyProtection="1">
      <alignment horizontal="center" vertical="center" wrapText="1"/>
      <protection hidden="1"/>
    </xf>
    <xf numFmtId="0" fontId="99" fillId="0" borderId="0" xfId="2" applyFont="1" applyFill="1" applyBorder="1" applyAlignment="1" applyProtection="1">
      <alignment vertical="center"/>
      <protection hidden="1"/>
    </xf>
    <xf numFmtId="0" fontId="72" fillId="0" borderId="102" xfId="2" applyFont="1" applyFill="1" applyBorder="1" applyAlignment="1" applyProtection="1">
      <alignment horizontal="right" vertical="center"/>
      <protection hidden="1"/>
    </xf>
    <xf numFmtId="0" fontId="72" fillId="0" borderId="24" xfId="2" applyFont="1" applyFill="1" applyBorder="1" applyAlignment="1" applyProtection="1">
      <alignment horizontal="center" vertical="center" wrapText="1"/>
      <protection hidden="1"/>
    </xf>
    <xf numFmtId="0" fontId="72" fillId="0" borderId="22" xfId="2" applyFont="1" applyFill="1" applyBorder="1" applyAlignment="1" applyProtection="1">
      <alignment horizontal="right" vertical="center"/>
      <protection hidden="1"/>
    </xf>
    <xf numFmtId="0" fontId="113" fillId="0" borderId="26" xfId="2" applyFont="1" applyFill="1" applyBorder="1" applyAlignment="1" applyProtection="1">
      <alignment horizontal="center" vertical="center"/>
      <protection hidden="1"/>
    </xf>
    <xf numFmtId="0" fontId="158" fillId="7" borderId="6" xfId="2" applyFont="1" applyFill="1" applyBorder="1" applyAlignment="1" applyProtection="1">
      <alignment horizontal="center" vertical="center"/>
      <protection hidden="1"/>
    </xf>
    <xf numFmtId="0" fontId="158" fillId="7" borderId="2" xfId="2" applyFont="1" applyFill="1" applyBorder="1" applyAlignment="1" applyProtection="1">
      <alignment horizontal="center" vertical="center"/>
      <protection hidden="1"/>
    </xf>
    <xf numFmtId="0" fontId="99" fillId="0" borderId="31" xfId="2" applyFont="1" applyFill="1" applyBorder="1" applyAlignment="1" applyProtection="1">
      <alignment vertical="center"/>
      <protection hidden="1"/>
    </xf>
    <xf numFmtId="0" fontId="99" fillId="0" borderId="103" xfId="2" applyFont="1" applyFill="1" applyBorder="1" applyAlignment="1" applyProtection="1">
      <alignment vertical="center"/>
      <protection hidden="1"/>
    </xf>
    <xf numFmtId="0" fontId="104" fillId="0" borderId="11" xfId="2" applyFont="1" applyFill="1" applyBorder="1" applyAlignment="1" applyProtection="1">
      <alignment horizontal="center" vertical="center"/>
      <protection hidden="1"/>
    </xf>
    <xf numFmtId="0" fontId="115" fillId="0" borderId="7" xfId="2" applyFont="1" applyFill="1" applyBorder="1" applyAlignment="1" applyProtection="1">
      <alignment horizontal="center" vertical="center"/>
      <protection hidden="1"/>
    </xf>
    <xf numFmtId="0" fontId="99" fillId="0" borderId="7" xfId="2" applyFont="1" applyFill="1" applyBorder="1" applyAlignment="1" applyProtection="1">
      <alignment vertical="center"/>
      <protection hidden="1"/>
    </xf>
    <xf numFmtId="0" fontId="99" fillId="0" borderId="104" xfId="2" applyFont="1" applyFill="1" applyBorder="1" applyAlignment="1" applyProtection="1">
      <alignment vertical="center"/>
      <protection hidden="1"/>
    </xf>
    <xf numFmtId="0" fontId="104" fillId="0" borderId="23" xfId="2" applyFont="1" applyFill="1" applyBorder="1" applyAlignment="1" applyProtection="1">
      <alignment horizontal="center" vertical="center"/>
      <protection hidden="1"/>
    </xf>
    <xf numFmtId="49" fontId="158" fillId="3" borderId="19" xfId="2" applyNumberFormat="1" applyFont="1" applyFill="1" applyBorder="1" applyAlignment="1" applyProtection="1">
      <alignment horizontal="center" vertical="center"/>
      <protection hidden="1"/>
    </xf>
    <xf numFmtId="0" fontId="4" fillId="0" borderId="103" xfId="2" applyFont="1" applyFill="1" applyBorder="1" applyAlignment="1" applyProtection="1">
      <alignment horizontal="center" vertical="center"/>
      <protection hidden="1"/>
    </xf>
    <xf numFmtId="0" fontId="125" fillId="0" borderId="124" xfId="2" applyFont="1" applyFill="1" applyBorder="1" applyAlignment="1" applyProtection="1">
      <alignment horizontal="center" vertical="center"/>
      <protection hidden="1"/>
    </xf>
    <xf numFmtId="49" fontId="104" fillId="0" borderId="7" xfId="2" applyNumberFormat="1" applyFont="1" applyFill="1" applyBorder="1" applyAlignment="1" applyProtection="1">
      <alignment horizontal="center" vertical="center"/>
      <protection hidden="1"/>
    </xf>
    <xf numFmtId="0" fontId="17" fillId="0" borderId="15" xfId="2" applyFont="1" applyFill="1" applyBorder="1" applyAlignment="1" applyProtection="1">
      <alignment horizontal="left" vertical="center"/>
      <protection hidden="1"/>
    </xf>
    <xf numFmtId="0" fontId="72" fillId="0" borderId="17" xfId="2" applyFont="1" applyFill="1" applyBorder="1" applyAlignment="1" applyProtection="1">
      <alignment horizontal="left" vertical="center" wrapText="1"/>
      <protection hidden="1"/>
    </xf>
    <xf numFmtId="0" fontId="20" fillId="0" borderId="58" xfId="2" applyFont="1" applyFill="1" applyBorder="1" applyAlignment="1" applyProtection="1">
      <alignment horizontal="left" vertical="center" textRotation="90" wrapText="1"/>
      <protection hidden="1"/>
    </xf>
    <xf numFmtId="0" fontId="20" fillId="0" borderId="0" xfId="2" applyFont="1" applyFill="1" applyBorder="1" applyAlignment="1" applyProtection="1">
      <alignment horizontal="left" vertical="center" textRotation="90" wrapText="1"/>
      <protection hidden="1"/>
    </xf>
    <xf numFmtId="0" fontId="20" fillId="0" borderId="0" xfId="2" applyFont="1" applyFill="1" applyBorder="1" applyAlignment="1" applyProtection="1">
      <alignment horizontal="left" vertical="center" wrapText="1"/>
      <protection hidden="1"/>
    </xf>
    <xf numFmtId="49" fontId="206" fillId="0" borderId="0" xfId="2" applyNumberFormat="1" applyFont="1" applyFill="1" applyBorder="1" applyAlignment="1" applyProtection="1">
      <alignment horizontal="left" vertical="center" wrapText="1"/>
      <protection hidden="1"/>
    </xf>
    <xf numFmtId="0" fontId="20" fillId="0" borderId="0" xfId="2" applyFont="1" applyFill="1" applyBorder="1" applyAlignment="1" applyProtection="1">
      <alignment horizontal="right" vertical="center" wrapText="1"/>
      <protection hidden="1"/>
    </xf>
    <xf numFmtId="0" fontId="130" fillId="0" borderId="0" xfId="2" applyFont="1" applyFill="1" applyBorder="1" applyAlignment="1" applyProtection="1">
      <alignment horizontal="center" vertical="center" wrapText="1"/>
      <protection hidden="1"/>
    </xf>
    <xf numFmtId="0" fontId="15" fillId="0" borderId="28" xfId="2" applyFont="1" applyFill="1" applyBorder="1" applyAlignment="1" applyProtection="1">
      <alignment horizontal="center" vertical="center" wrapText="1"/>
      <protection hidden="1"/>
    </xf>
    <xf numFmtId="0" fontId="20" fillId="0" borderId="136" xfId="2" applyFont="1" applyFill="1" applyBorder="1" applyAlignment="1" applyProtection="1">
      <alignment horizontal="center" wrapText="1"/>
      <protection hidden="1"/>
    </xf>
    <xf numFmtId="0" fontId="10" fillId="0" borderId="0" xfId="2" applyFont="1" applyFill="1" applyBorder="1" applyAlignment="1" applyProtection="1">
      <alignment horizontal="left"/>
      <protection hidden="1"/>
    </xf>
    <xf numFmtId="0" fontId="23" fillId="0" borderId="0" xfId="2" applyFont="1" applyFill="1" applyBorder="1" applyAlignment="1" applyProtection="1">
      <alignment horizontal="left"/>
      <protection hidden="1"/>
    </xf>
    <xf numFmtId="0" fontId="13" fillId="0" borderId="0" xfId="2" applyFont="1" applyFill="1" applyBorder="1" applyAlignment="1" applyProtection="1">
      <alignment horizontal="right" vertical="top"/>
      <protection hidden="1"/>
    </xf>
    <xf numFmtId="0" fontId="15" fillId="0" borderId="0" xfId="2" applyFont="1" applyFill="1" applyBorder="1" applyAlignment="1" applyProtection="1">
      <alignment horizontal="right" vertical="top"/>
      <protection hidden="1"/>
    </xf>
    <xf numFmtId="0" fontId="47" fillId="0" borderId="0" xfId="2" applyFont="1" applyFill="1" applyBorder="1" applyAlignment="1" applyProtection="1">
      <alignment horizontal="right" vertical="center" wrapText="1"/>
      <protection hidden="1"/>
    </xf>
    <xf numFmtId="49" fontId="15" fillId="0" borderId="28" xfId="2" applyNumberFormat="1" applyFont="1" applyFill="1" applyBorder="1" applyAlignment="1" applyProtection="1">
      <alignment horizontal="right" vertical="center"/>
      <protection hidden="1"/>
    </xf>
    <xf numFmtId="0" fontId="20" fillId="0" borderId="63" xfId="2" applyFont="1" applyFill="1" applyBorder="1" applyAlignment="1" applyProtection="1">
      <alignment horizontal="right" vertical="center" wrapText="1"/>
      <protection hidden="1"/>
    </xf>
    <xf numFmtId="0" fontId="98" fillId="0" borderId="0" xfId="2" applyFont="1" applyFill="1" applyBorder="1" applyAlignment="1" applyProtection="1">
      <alignment horizontal="right"/>
      <protection hidden="1"/>
    </xf>
    <xf numFmtId="0" fontId="137" fillId="0" borderId="0" xfId="2" applyFont="1" applyFill="1" applyBorder="1" applyAlignment="1" applyProtection="1">
      <alignment horizontal="center" vertical="center" wrapText="1"/>
      <protection hidden="1"/>
    </xf>
    <xf numFmtId="0" fontId="20" fillId="0" borderId="47" xfId="2" applyFont="1" applyFill="1" applyBorder="1" applyAlignment="1" applyProtection="1">
      <alignment horizontal="left" vertical="center" textRotation="90" wrapText="1"/>
      <protection hidden="1"/>
    </xf>
    <xf numFmtId="0" fontId="20" fillId="0" borderId="24" xfId="2" applyFont="1" applyFill="1" applyBorder="1" applyAlignment="1" applyProtection="1">
      <alignment horizontal="left" vertical="center" textRotation="90" wrapText="1"/>
      <protection hidden="1"/>
    </xf>
    <xf numFmtId="0" fontId="99" fillId="0" borderId="24" xfId="2" applyFont="1" applyFill="1" applyBorder="1" applyAlignment="1" applyProtection="1">
      <alignment vertical="center"/>
      <protection hidden="1"/>
    </xf>
    <xf numFmtId="0" fontId="137" fillId="0" borderId="24" xfId="2" applyFont="1" applyFill="1" applyBorder="1" applyAlignment="1" applyProtection="1">
      <alignment horizontal="center" vertical="center" wrapText="1"/>
      <protection hidden="1"/>
    </xf>
    <xf numFmtId="0" fontId="47" fillId="0" borderId="24" xfId="2" applyFont="1" applyFill="1" applyBorder="1" applyAlignment="1" applyProtection="1">
      <alignment horizontal="right" vertical="center" wrapText="1"/>
      <protection hidden="1"/>
    </xf>
    <xf numFmtId="49" fontId="16" fillId="0" borderId="22" xfId="2" applyNumberFormat="1" applyFont="1" applyFill="1" applyBorder="1" applyAlignment="1" applyProtection="1">
      <alignment horizontal="right" vertical="center"/>
      <protection hidden="1"/>
    </xf>
    <xf numFmtId="0" fontId="147" fillId="0" borderId="58" xfId="2" applyFont="1" applyFill="1" applyBorder="1" applyAlignment="1" applyProtection="1">
      <alignment horizontal="left"/>
      <protection hidden="1"/>
    </xf>
    <xf numFmtId="0" fontId="70" fillId="0" borderId="0" xfId="2" applyFont="1" applyFill="1" applyBorder="1" applyAlignment="1" applyProtection="1">
      <alignment vertical="center"/>
      <protection hidden="1"/>
    </xf>
    <xf numFmtId="0" fontId="209" fillId="0" borderId="0" xfId="2" applyFont="1" applyFill="1" applyBorder="1" applyAlignment="1" applyProtection="1">
      <alignment vertical="center"/>
      <protection hidden="1"/>
    </xf>
    <xf numFmtId="0" fontId="210" fillId="0" borderId="0" xfId="2" applyFont="1" applyFill="1" applyBorder="1" applyAlignment="1" applyProtection="1">
      <alignment horizontal="left" vertical="top"/>
      <protection hidden="1"/>
    </xf>
    <xf numFmtId="0" fontId="184" fillId="0" borderId="28" xfId="2" applyFont="1" applyFill="1" applyBorder="1" applyAlignment="1" applyProtection="1">
      <alignment horizontal="right" vertical="center"/>
      <protection hidden="1"/>
    </xf>
    <xf numFmtId="0" fontId="99" fillId="0" borderId="58" xfId="2" applyFont="1" applyFill="1" applyBorder="1" applyAlignment="1" applyProtection="1">
      <alignment vertical="center"/>
      <protection hidden="1"/>
    </xf>
    <xf numFmtId="0" fontId="17" fillId="0" borderId="0" xfId="2" applyFont="1" applyFill="1" applyBorder="1" applyAlignment="1" applyProtection="1">
      <alignment vertical="center"/>
      <protection hidden="1"/>
    </xf>
    <xf numFmtId="0" fontId="211" fillId="0" borderId="28" xfId="2" applyFont="1" applyFill="1" applyBorder="1" applyAlignment="1" applyProtection="1">
      <alignment vertical="center"/>
      <protection hidden="1"/>
    </xf>
    <xf numFmtId="0" fontId="211" fillId="0" borderId="0" xfId="2" applyFont="1" applyFill="1" applyBorder="1" applyAlignment="1" applyProtection="1">
      <alignment vertical="center"/>
      <protection hidden="1"/>
    </xf>
    <xf numFmtId="0" fontId="17" fillId="0" borderId="0" xfId="2" applyFont="1" applyFill="1" applyAlignment="1" applyProtection="1">
      <alignment vertical="center"/>
      <protection hidden="1"/>
    </xf>
    <xf numFmtId="0" fontId="40" fillId="0" borderId="0" xfId="2" applyFont="1" applyFill="1" applyAlignment="1" applyProtection="1">
      <alignment vertical="center"/>
      <protection hidden="1"/>
    </xf>
    <xf numFmtId="175" fontId="190" fillId="12" borderId="243" xfId="2" applyNumberFormat="1" applyFont="1" applyFill="1" applyBorder="1" applyAlignment="1" applyProtection="1">
      <alignment horizontal="center" vertical="center"/>
      <protection hidden="1"/>
    </xf>
    <xf numFmtId="0" fontId="99" fillId="0" borderId="47" xfId="2" applyFont="1" applyFill="1" applyBorder="1" applyAlignment="1" applyProtection="1">
      <alignment vertical="center"/>
      <protection hidden="1"/>
    </xf>
    <xf numFmtId="0" fontId="99" fillId="0" borderId="22" xfId="2" applyFont="1" applyFill="1" applyBorder="1" applyAlignment="1" applyProtection="1">
      <alignment vertical="center"/>
      <protection hidden="1"/>
    </xf>
    <xf numFmtId="0" fontId="1" fillId="0" borderId="58" xfId="0" applyFont="1" applyBorder="1" applyAlignment="1">
      <alignment horizontal="left" vertical="center" wrapText="1"/>
    </xf>
    <xf numFmtId="49" fontId="88" fillId="12" borderId="24" xfId="2" applyNumberFormat="1" applyFont="1" applyFill="1" applyBorder="1" applyAlignment="1" applyProtection="1">
      <alignment horizontal="left" vertical="center"/>
      <protection hidden="1"/>
    </xf>
    <xf numFmtId="49" fontId="30" fillId="12" borderId="24" xfId="2" applyNumberFormat="1" applyFont="1" applyFill="1" applyBorder="1" applyAlignment="1" applyProtection="1">
      <alignment horizontal="left" vertical="center" wrapText="1"/>
      <protection hidden="1"/>
    </xf>
    <xf numFmtId="49" fontId="30" fillId="12" borderId="0" xfId="2" applyNumberFormat="1" applyFont="1" applyFill="1" applyBorder="1" applyAlignment="1" applyProtection="1">
      <alignment horizontal="left" vertical="center" wrapText="1"/>
      <protection hidden="1"/>
    </xf>
    <xf numFmtId="0" fontId="104" fillId="12" borderId="9" xfId="2" applyFont="1" applyFill="1" applyBorder="1" applyAlignment="1" applyProtection="1">
      <alignment vertical="center"/>
      <protection hidden="1"/>
    </xf>
    <xf numFmtId="0" fontId="104" fillId="12" borderId="8" xfId="2" applyFont="1" applyFill="1" applyBorder="1" applyAlignment="1" applyProtection="1">
      <alignment vertical="center"/>
      <protection hidden="1"/>
    </xf>
    <xf numFmtId="49" fontId="104" fillId="12" borderId="10" xfId="2" applyNumberFormat="1" applyFont="1" applyFill="1" applyBorder="1" applyAlignment="1" applyProtection="1">
      <alignment vertical="center"/>
      <protection hidden="1"/>
    </xf>
    <xf numFmtId="49" fontId="104" fillId="12" borderId="5" xfId="2" applyNumberFormat="1" applyFont="1" applyFill="1" applyBorder="1" applyAlignment="1" applyProtection="1">
      <alignment vertical="center"/>
      <protection hidden="1"/>
    </xf>
    <xf numFmtId="49" fontId="104" fillId="12" borderId="278" xfId="2" applyNumberFormat="1" applyFont="1" applyFill="1" applyBorder="1" applyAlignment="1" applyProtection="1">
      <alignment vertical="center"/>
      <protection hidden="1"/>
    </xf>
    <xf numFmtId="0" fontId="171" fillId="12" borderId="12" xfId="2" applyFont="1" applyFill="1" applyBorder="1" applyAlignment="1" applyProtection="1">
      <alignment horizontal="center" vertical="center"/>
      <protection hidden="1"/>
    </xf>
    <xf numFmtId="49" fontId="171" fillId="12" borderId="1" xfId="2" applyNumberFormat="1" applyFont="1" applyFill="1" applyBorder="1" applyAlignment="1" applyProtection="1">
      <alignment horizontal="center" vertical="center"/>
      <protection hidden="1"/>
    </xf>
    <xf numFmtId="49" fontId="171" fillId="12" borderId="12" xfId="2" applyNumberFormat="1" applyFont="1" applyFill="1" applyBorder="1" applyAlignment="1" applyProtection="1">
      <alignment horizontal="center" vertical="center"/>
      <protection hidden="1"/>
    </xf>
    <xf numFmtId="49" fontId="171" fillId="12" borderId="30" xfId="2" applyNumberFormat="1" applyFont="1" applyFill="1" applyBorder="1" applyAlignment="1" applyProtection="1">
      <alignment horizontal="center" vertical="center"/>
      <protection hidden="1"/>
    </xf>
    <xf numFmtId="49" fontId="104" fillId="12" borderId="10" xfId="2" applyNumberFormat="1" applyFont="1" applyFill="1" applyBorder="1" applyAlignment="1" applyProtection="1">
      <alignment horizontal="left" vertical="center"/>
      <protection hidden="1"/>
    </xf>
    <xf numFmtId="49" fontId="104" fillId="12" borderId="5" xfId="2" applyNumberFormat="1" applyFont="1" applyFill="1" applyBorder="1" applyAlignment="1" applyProtection="1">
      <alignment horizontal="left" vertical="center" wrapText="1"/>
      <protection hidden="1"/>
    </xf>
    <xf numFmtId="49" fontId="104" fillId="12" borderId="278" xfId="2" applyNumberFormat="1" applyFont="1" applyFill="1" applyBorder="1" applyAlignment="1" applyProtection="1">
      <alignment horizontal="left" vertical="center" wrapText="1"/>
      <protection hidden="1"/>
    </xf>
    <xf numFmtId="49" fontId="171" fillId="12" borderId="5" xfId="2" applyNumberFormat="1" applyFont="1" applyFill="1" applyBorder="1" applyAlignment="1" applyProtection="1">
      <alignment horizontal="center" vertical="center"/>
      <protection hidden="1"/>
    </xf>
    <xf numFmtId="49" fontId="104" fillId="12" borderId="9" xfId="2" applyNumberFormat="1" applyFont="1" applyFill="1" applyBorder="1" applyAlignment="1" applyProtection="1">
      <alignment horizontal="left" vertical="center"/>
      <protection hidden="1"/>
    </xf>
    <xf numFmtId="49" fontId="104" fillId="12" borderId="8" xfId="2" applyNumberFormat="1" applyFont="1" applyFill="1" applyBorder="1" applyAlignment="1" applyProtection="1">
      <alignment horizontal="left" vertical="center" wrapText="1"/>
      <protection hidden="1"/>
    </xf>
    <xf numFmtId="49" fontId="104" fillId="12" borderId="260" xfId="2" applyNumberFormat="1" applyFont="1" applyFill="1" applyBorder="1" applyAlignment="1" applyProtection="1">
      <alignment horizontal="left" vertical="center" wrapText="1"/>
      <protection hidden="1"/>
    </xf>
    <xf numFmtId="0" fontId="10" fillId="12" borderId="258" xfId="2" applyFont="1" applyFill="1" applyBorder="1" applyAlignment="1" applyProtection="1">
      <alignment horizontal="center" vertical="center"/>
      <protection hidden="1"/>
    </xf>
    <xf numFmtId="49" fontId="171" fillId="12" borderId="10" xfId="2" applyNumberFormat="1" applyFont="1" applyFill="1" applyBorder="1" applyAlignment="1" applyProtection="1">
      <alignment horizontal="left" vertical="center"/>
      <protection hidden="1"/>
    </xf>
    <xf numFmtId="49" fontId="104" fillId="12" borderId="5" xfId="2" applyNumberFormat="1" applyFont="1" applyFill="1" applyBorder="1" applyAlignment="1" applyProtection="1">
      <alignment horizontal="center" vertical="center"/>
      <protection hidden="1"/>
    </xf>
    <xf numFmtId="49" fontId="104" fillId="12" borderId="13" xfId="2" applyNumberFormat="1" applyFont="1" applyFill="1" applyBorder="1" applyAlignment="1" applyProtection="1">
      <alignment horizontal="center" vertical="center"/>
      <protection hidden="1"/>
    </xf>
    <xf numFmtId="0" fontId="10" fillId="12" borderId="279" xfId="2" applyFont="1" applyFill="1" applyBorder="1" applyAlignment="1" applyProtection="1">
      <alignment horizontal="center" vertical="center"/>
      <protection hidden="1"/>
    </xf>
    <xf numFmtId="49" fontId="104" fillId="12" borderId="123" xfId="2" applyNumberFormat="1" applyFont="1" applyFill="1" applyBorder="1" applyAlignment="1" applyProtection="1">
      <alignment horizontal="center" vertical="center"/>
      <protection hidden="1"/>
    </xf>
    <xf numFmtId="49" fontId="104" fillId="12" borderId="89" xfId="2" applyNumberFormat="1" applyFont="1" applyFill="1" applyBorder="1" applyAlignment="1" applyProtection="1">
      <alignment horizontal="center" vertical="center"/>
      <protection hidden="1"/>
    </xf>
    <xf numFmtId="49" fontId="104" fillId="12" borderId="90" xfId="2" applyNumberFormat="1" applyFont="1" applyFill="1" applyBorder="1" applyAlignment="1" applyProtection="1">
      <alignment horizontal="center" vertical="center"/>
      <protection hidden="1"/>
    </xf>
    <xf numFmtId="49" fontId="155" fillId="12" borderId="20" xfId="2" applyNumberFormat="1" applyFont="1" applyFill="1" applyBorder="1" applyAlignment="1" applyProtection="1">
      <alignment horizontal="center" vertical="center"/>
      <protection hidden="1"/>
    </xf>
    <xf numFmtId="0" fontId="207" fillId="0" borderId="0" xfId="2" applyFont="1" applyBorder="1" applyAlignment="1" applyProtection="1">
      <alignment vertical="center"/>
      <protection hidden="1"/>
    </xf>
    <xf numFmtId="0" fontId="208" fillId="0" borderId="0" xfId="2" applyFont="1" applyBorder="1" applyAlignment="1" applyProtection="1">
      <alignment vertical="center" wrapText="1"/>
      <protection hidden="1"/>
    </xf>
    <xf numFmtId="0" fontId="208" fillId="0" borderId="0" xfId="2" applyFont="1" applyBorder="1" applyAlignment="1" applyProtection="1">
      <alignment vertical="center"/>
      <protection hidden="1"/>
    </xf>
    <xf numFmtId="0" fontId="208" fillId="0" borderId="28" xfId="2" applyFont="1" applyBorder="1" applyAlignment="1" applyProtection="1">
      <alignment vertical="center" wrapText="1"/>
      <protection hidden="1"/>
    </xf>
    <xf numFmtId="0" fontId="208" fillId="0" borderId="0" xfId="2" applyFont="1" applyBorder="1" applyProtection="1">
      <protection hidden="1"/>
    </xf>
    <xf numFmtId="0" fontId="173" fillId="17" borderId="8" xfId="0" applyFont="1" applyFill="1" applyBorder="1" applyAlignment="1" applyProtection="1">
      <alignment vertical="center"/>
      <protection hidden="1"/>
    </xf>
    <xf numFmtId="0" fontId="215" fillId="15" borderId="25" xfId="0" applyFont="1" applyFill="1" applyBorder="1" applyAlignment="1" applyProtection="1">
      <alignment horizontal="center" vertical="center" wrapText="1"/>
      <protection hidden="1"/>
    </xf>
    <xf numFmtId="49" fontId="215" fillId="0" borderId="26" xfId="0" applyNumberFormat="1" applyFont="1" applyFill="1" applyBorder="1" applyAlignment="1" applyProtection="1">
      <alignment horizontal="center" vertical="center" wrapText="1"/>
      <protection hidden="1"/>
    </xf>
    <xf numFmtId="49" fontId="215" fillId="15" borderId="26" xfId="0" applyNumberFormat="1" applyFont="1" applyFill="1" applyBorder="1" applyAlignment="1" applyProtection="1">
      <alignment horizontal="center" vertical="center" wrapText="1"/>
      <protection hidden="1"/>
    </xf>
    <xf numFmtId="0" fontId="215" fillId="0" borderId="26" xfId="0" applyFont="1" applyFill="1" applyBorder="1" applyAlignment="1" applyProtection="1">
      <alignment horizontal="center" vertical="center"/>
      <protection hidden="1"/>
    </xf>
    <xf numFmtId="0" fontId="215" fillId="0" borderId="124" xfId="0" applyFont="1" applyFill="1" applyBorder="1" applyAlignment="1" applyProtection="1">
      <alignment horizontal="center" vertical="center" wrapText="1"/>
      <protection hidden="1"/>
    </xf>
    <xf numFmtId="0" fontId="1" fillId="0" borderId="58" xfId="0" applyFont="1" applyBorder="1" applyAlignment="1">
      <alignment vertical="center" wrapText="1"/>
    </xf>
    <xf numFmtId="0" fontId="1" fillId="0" borderId="28" xfId="0" applyFont="1" applyBorder="1" applyAlignment="1">
      <alignment vertical="center" wrapText="1"/>
    </xf>
    <xf numFmtId="0" fontId="1" fillId="0" borderId="58" xfId="0" applyFont="1" applyBorder="1" applyAlignment="1">
      <alignment wrapText="1"/>
    </xf>
    <xf numFmtId="0" fontId="1" fillId="0" borderId="28" xfId="0" applyFont="1" applyBorder="1" applyAlignment="1">
      <alignment wrapText="1"/>
    </xf>
    <xf numFmtId="0" fontId="4" fillId="0" borderId="58" xfId="0" applyFont="1" applyBorder="1" applyAlignment="1">
      <alignment vertical="center" wrapText="1"/>
    </xf>
    <xf numFmtId="0" fontId="4" fillId="0" borderId="28" xfId="0" applyFont="1" applyBorder="1" applyAlignment="1">
      <alignment vertical="center" wrapText="1"/>
    </xf>
    <xf numFmtId="0" fontId="1" fillId="17" borderId="47" xfId="0" applyFont="1" applyFill="1" applyBorder="1" applyAlignment="1">
      <alignment horizontal="left" wrapText="1"/>
    </xf>
    <xf numFmtId="0" fontId="1" fillId="17" borderId="22" xfId="0" applyFont="1" applyFill="1" applyBorder="1" applyAlignment="1">
      <alignment horizontal="left" wrapText="1"/>
    </xf>
    <xf numFmtId="0" fontId="1" fillId="0" borderId="58" xfId="0" applyFont="1" applyBorder="1" applyAlignment="1">
      <alignment horizontal="left" vertical="center" wrapText="1"/>
    </xf>
    <xf numFmtId="0" fontId="1" fillId="0" borderId="28" xfId="0" applyFont="1" applyBorder="1" applyAlignment="1">
      <alignment horizontal="left" vertical="center" wrapText="1"/>
    </xf>
    <xf numFmtId="0" fontId="72" fillId="0" borderId="148" xfId="2" applyFont="1" applyFill="1" applyBorder="1" applyAlignment="1" applyProtection="1">
      <alignment horizontal="left" vertical="top" wrapText="1"/>
      <protection hidden="1"/>
    </xf>
    <xf numFmtId="0" fontId="72" fillId="0" borderId="102" xfId="2" applyFont="1" applyFill="1" applyBorder="1" applyAlignment="1" applyProtection="1">
      <alignment horizontal="left" vertical="top" wrapText="1"/>
      <protection hidden="1"/>
    </xf>
    <xf numFmtId="0" fontId="72" fillId="0" borderId="58" xfId="2" applyFont="1" applyFill="1" applyBorder="1" applyAlignment="1" applyProtection="1">
      <alignment horizontal="left" vertical="top" wrapText="1"/>
      <protection hidden="1"/>
    </xf>
    <xf numFmtId="0" fontId="72" fillId="0" borderId="28" xfId="2" applyFont="1" applyFill="1" applyBorder="1" applyAlignment="1" applyProtection="1">
      <alignment horizontal="left" vertical="top" wrapText="1"/>
      <protection hidden="1"/>
    </xf>
    <xf numFmtId="0" fontId="72" fillId="0" borderId="47" xfId="2" applyFont="1" applyFill="1" applyBorder="1" applyAlignment="1" applyProtection="1">
      <alignment horizontal="left" vertical="top" wrapText="1"/>
      <protection hidden="1"/>
    </xf>
    <xf numFmtId="0" fontId="72" fillId="0" borderId="22" xfId="2" applyFont="1" applyFill="1" applyBorder="1" applyAlignment="1" applyProtection="1">
      <alignment horizontal="left" vertical="top" wrapText="1"/>
      <protection hidden="1"/>
    </xf>
    <xf numFmtId="0" fontId="208" fillId="0" borderId="0" xfId="2" applyFont="1" applyBorder="1" applyAlignment="1" applyProtection="1">
      <alignment vertical="center" wrapText="1"/>
      <protection hidden="1"/>
    </xf>
    <xf numFmtId="0" fontId="208" fillId="0" borderId="28" xfId="2" applyFont="1" applyBorder="1" applyAlignment="1" applyProtection="1">
      <alignment vertical="center" wrapText="1"/>
      <protection hidden="1"/>
    </xf>
    <xf numFmtId="49" fontId="3" fillId="13" borderId="153" xfId="2" applyNumberFormat="1" applyFont="1" applyFill="1" applyBorder="1" applyAlignment="1" applyProtection="1">
      <alignment horizontal="center" vertical="center" wrapText="1"/>
      <protection hidden="1"/>
    </xf>
    <xf numFmtId="49" fontId="3" fillId="13" borderId="102" xfId="2" applyNumberFormat="1" applyFont="1" applyFill="1" applyBorder="1" applyAlignment="1" applyProtection="1">
      <alignment horizontal="center" vertical="center" wrapText="1"/>
      <protection hidden="1"/>
    </xf>
    <xf numFmtId="49" fontId="3" fillId="13" borderId="27" xfId="2" applyNumberFormat="1" applyFont="1" applyFill="1" applyBorder="1" applyAlignment="1" applyProtection="1">
      <alignment horizontal="center" vertical="center" wrapText="1"/>
      <protection hidden="1"/>
    </xf>
    <xf numFmtId="49" fontId="3" fillId="13" borderId="22" xfId="2" applyNumberFormat="1" applyFont="1" applyFill="1" applyBorder="1" applyAlignment="1" applyProtection="1">
      <alignment horizontal="center" vertical="center" wrapText="1"/>
      <protection hidden="1"/>
    </xf>
    <xf numFmtId="0" fontId="104" fillId="0" borderId="27" xfId="2" applyFont="1" applyFill="1" applyBorder="1" applyAlignment="1" applyProtection="1">
      <alignment horizontal="center" vertical="top" wrapText="1"/>
      <protection hidden="1"/>
    </xf>
    <xf numFmtId="0" fontId="104" fillId="0" borderId="24" xfId="2" applyFont="1" applyFill="1" applyBorder="1" applyAlignment="1" applyProtection="1">
      <alignment horizontal="center" vertical="top" wrapText="1"/>
      <protection hidden="1"/>
    </xf>
    <xf numFmtId="0" fontId="104" fillId="0" borderId="25" xfId="2" applyFont="1" applyFill="1" applyBorder="1" applyAlignment="1" applyProtection="1">
      <alignment horizontal="center" vertical="top" wrapText="1"/>
      <protection hidden="1"/>
    </xf>
    <xf numFmtId="0" fontId="13" fillId="0" borderId="15" xfId="2" applyFont="1" applyFill="1" applyBorder="1" applyAlignment="1" applyProtection="1">
      <alignment horizontal="right" vertical="center" wrapText="1"/>
      <protection hidden="1"/>
    </xf>
    <xf numFmtId="0" fontId="13" fillId="0" borderId="17" xfId="2" applyFont="1" applyFill="1" applyBorder="1" applyAlignment="1" applyProtection="1">
      <alignment horizontal="right" vertical="center" wrapText="1"/>
      <protection hidden="1"/>
    </xf>
    <xf numFmtId="0" fontId="13" fillId="0" borderId="29" xfId="2" applyFont="1" applyFill="1" applyBorder="1" applyAlignment="1" applyProtection="1">
      <alignment horizontal="right" vertical="center" wrapText="1"/>
      <protection hidden="1"/>
    </xf>
    <xf numFmtId="0" fontId="10" fillId="0" borderId="15" xfId="2" applyFont="1" applyFill="1" applyBorder="1" applyAlignment="1" applyProtection="1">
      <alignment horizontal="right" vertical="center" wrapText="1"/>
      <protection hidden="1"/>
    </xf>
    <xf numFmtId="0" fontId="10" fillId="0" borderId="29" xfId="2" applyFont="1" applyFill="1" applyBorder="1" applyAlignment="1" applyProtection="1">
      <alignment horizontal="right" vertical="center" wrapText="1"/>
      <protection hidden="1"/>
    </xf>
    <xf numFmtId="0" fontId="72" fillId="0" borderId="17" xfId="2" applyFont="1" applyFill="1" applyBorder="1" applyAlignment="1" applyProtection="1">
      <alignment horizontal="center" vertical="center" wrapText="1"/>
      <protection hidden="1"/>
    </xf>
    <xf numFmtId="0" fontId="72" fillId="0" borderId="40" xfId="2" applyFont="1" applyFill="1" applyBorder="1" applyAlignment="1" applyProtection="1">
      <alignment horizontal="center" vertical="center" wrapText="1"/>
      <protection hidden="1"/>
    </xf>
    <xf numFmtId="0" fontId="115" fillId="12" borderId="28" xfId="2" applyFont="1" applyFill="1" applyBorder="1" applyAlignment="1" applyProtection="1">
      <alignment horizontal="center" vertical="center" wrapText="1"/>
      <protection hidden="1"/>
    </xf>
    <xf numFmtId="0" fontId="115" fillId="12" borderId="22" xfId="2" applyFont="1" applyFill="1" applyBorder="1" applyAlignment="1" applyProtection="1">
      <alignment horizontal="center" vertical="center" wrapText="1"/>
      <protection hidden="1"/>
    </xf>
    <xf numFmtId="0" fontId="13" fillId="0" borderId="95" xfId="2" applyFont="1" applyFill="1" applyBorder="1" applyAlignment="1" applyProtection="1">
      <alignment horizontal="center" vertical="center" textRotation="90" wrapText="1"/>
      <protection hidden="1"/>
    </xf>
    <xf numFmtId="0" fontId="13" fillId="0" borderId="136" xfId="2" applyFont="1" applyFill="1" applyBorder="1" applyAlignment="1" applyProtection="1">
      <alignment horizontal="center" vertical="center" textRotation="90" wrapText="1"/>
      <protection hidden="1"/>
    </xf>
    <xf numFmtId="0" fontId="13" fillId="0" borderId="63" xfId="2" applyFont="1" applyFill="1" applyBorder="1" applyAlignment="1" applyProtection="1">
      <alignment horizontal="center" vertical="center" textRotation="90" wrapText="1"/>
      <protection hidden="1"/>
    </xf>
    <xf numFmtId="0" fontId="13" fillId="0" borderId="153" xfId="2" applyFont="1" applyFill="1" applyBorder="1" applyAlignment="1" applyProtection="1">
      <alignment horizontal="right" vertical="center"/>
      <protection hidden="1"/>
    </xf>
    <xf numFmtId="0" fontId="13" fillId="0" borderId="49" xfId="2" applyFont="1" applyFill="1" applyBorder="1" applyAlignment="1" applyProtection="1">
      <alignment horizontal="right" vertical="center"/>
      <protection hidden="1"/>
    </xf>
    <xf numFmtId="0" fontId="13" fillId="0" borderId="160" xfId="2" applyFont="1" applyFill="1" applyBorder="1" applyAlignment="1" applyProtection="1">
      <alignment horizontal="right" vertical="center"/>
      <protection hidden="1"/>
    </xf>
    <xf numFmtId="0" fontId="13" fillId="0" borderId="27" xfId="2" applyFont="1" applyFill="1" applyBorder="1" applyAlignment="1" applyProtection="1">
      <alignment horizontal="right" vertical="center"/>
      <protection hidden="1"/>
    </xf>
    <xf numFmtId="0" fontId="13" fillId="0" borderId="24" xfId="2" applyFont="1" applyFill="1" applyBorder="1" applyAlignment="1" applyProtection="1">
      <alignment horizontal="right" vertical="center"/>
      <protection hidden="1"/>
    </xf>
    <xf numFmtId="0" fontId="13" fillId="0" borderId="25" xfId="2" applyFont="1" applyFill="1" applyBorder="1" applyAlignment="1" applyProtection="1">
      <alignment horizontal="right" vertical="center"/>
      <protection hidden="1"/>
    </xf>
    <xf numFmtId="49" fontId="158" fillId="3" borderId="21" xfId="2" applyNumberFormat="1" applyFont="1" applyFill="1" applyBorder="1" applyAlignment="1" applyProtection="1">
      <alignment horizontal="center" vertical="center"/>
      <protection hidden="1"/>
    </xf>
    <xf numFmtId="49" fontId="158" fillId="3" borderId="19" xfId="2" applyNumberFormat="1" applyFont="1" applyFill="1" applyBorder="1" applyAlignment="1" applyProtection="1">
      <alignment horizontal="center" vertical="center"/>
      <protection hidden="1"/>
    </xf>
    <xf numFmtId="0" fontId="104" fillId="0" borderId="9" xfId="2" applyFont="1" applyFill="1" applyBorder="1" applyAlignment="1" applyProtection="1">
      <alignment horizontal="center" vertical="center"/>
      <protection hidden="1"/>
    </xf>
    <xf numFmtId="0" fontId="104" fillId="0" borderId="11" xfId="2" applyFont="1" applyFill="1" applyBorder="1" applyAlignment="1" applyProtection="1">
      <alignment horizontal="center" vertical="center"/>
      <protection hidden="1"/>
    </xf>
    <xf numFmtId="0" fontId="13" fillId="2" borderId="153" xfId="2" applyFont="1" applyFill="1" applyBorder="1" applyAlignment="1" applyProtection="1">
      <alignment horizontal="center" wrapText="1"/>
      <protection hidden="1"/>
    </xf>
    <xf numFmtId="0" fontId="13" fillId="2" borderId="49" xfId="2" applyFont="1" applyFill="1" applyBorder="1" applyAlignment="1" applyProtection="1">
      <alignment horizontal="center" wrapText="1"/>
      <protection hidden="1"/>
    </xf>
    <xf numFmtId="0" fontId="13" fillId="2" borderId="160" xfId="2" applyFont="1" applyFill="1" applyBorder="1" applyAlignment="1" applyProtection="1">
      <alignment horizontal="center" wrapText="1"/>
      <protection hidden="1"/>
    </xf>
    <xf numFmtId="0" fontId="10" fillId="0" borderId="153" xfId="2" applyFont="1" applyFill="1" applyBorder="1" applyAlignment="1" applyProtection="1">
      <alignment horizontal="center" vertical="center" wrapText="1"/>
      <protection hidden="1"/>
    </xf>
    <xf numFmtId="0" fontId="10" fillId="0" borderId="49" xfId="2" applyFont="1" applyFill="1" applyBorder="1" applyAlignment="1" applyProtection="1">
      <alignment horizontal="center" vertical="center" wrapText="1"/>
      <protection hidden="1"/>
    </xf>
    <xf numFmtId="0" fontId="10" fillId="0" borderId="160" xfId="2" applyFont="1" applyFill="1" applyBorder="1" applyAlignment="1" applyProtection="1">
      <alignment horizontal="center" vertical="center" wrapText="1"/>
      <protection hidden="1"/>
    </xf>
    <xf numFmtId="0" fontId="10" fillId="0" borderId="27" xfId="2" applyFont="1" applyFill="1" applyBorder="1" applyAlignment="1" applyProtection="1">
      <alignment horizontal="center" vertical="center" wrapText="1"/>
      <protection hidden="1"/>
    </xf>
    <xf numFmtId="0" fontId="10" fillId="0" borderId="24" xfId="2" applyFont="1" applyFill="1" applyBorder="1" applyAlignment="1" applyProtection="1">
      <alignment horizontal="center" vertical="center" wrapText="1"/>
      <protection hidden="1"/>
    </xf>
    <xf numFmtId="0" fontId="10" fillId="0" borderId="25" xfId="2" applyFont="1" applyFill="1" applyBorder="1" applyAlignment="1" applyProtection="1">
      <alignment horizontal="center" vertical="center" wrapText="1"/>
      <protection hidden="1"/>
    </xf>
    <xf numFmtId="0" fontId="20" fillId="0" borderId="58" xfId="2" applyFont="1" applyFill="1" applyBorder="1" applyAlignment="1" applyProtection="1">
      <alignment horizontal="right" vertical="center" wrapText="1"/>
      <protection hidden="1"/>
    </xf>
    <xf numFmtId="0" fontId="20" fillId="0" borderId="0" xfId="2" applyFont="1" applyFill="1" applyBorder="1" applyAlignment="1" applyProtection="1">
      <alignment horizontal="right" vertical="center" wrapText="1"/>
      <protection hidden="1"/>
    </xf>
    <xf numFmtId="0" fontId="20" fillId="0" borderId="50" xfId="2" applyFont="1" applyFill="1" applyBorder="1" applyAlignment="1" applyProtection="1">
      <alignment horizontal="right" vertical="center" wrapText="1"/>
      <protection hidden="1"/>
    </xf>
    <xf numFmtId="0" fontId="20" fillId="0" borderId="47" xfId="2" applyFont="1" applyFill="1" applyBorder="1" applyAlignment="1" applyProtection="1">
      <alignment horizontal="right" vertical="center" wrapText="1"/>
      <protection hidden="1"/>
    </xf>
    <xf numFmtId="0" fontId="20" fillId="0" borderId="24" xfId="2" applyFont="1" applyFill="1" applyBorder="1" applyAlignment="1" applyProtection="1">
      <alignment horizontal="right" vertical="center" wrapText="1"/>
      <protection hidden="1"/>
    </xf>
    <xf numFmtId="0" fontId="20" fillId="0" borderId="25" xfId="2" applyFont="1" applyFill="1" applyBorder="1" applyAlignment="1" applyProtection="1">
      <alignment horizontal="right" vertical="center" wrapText="1"/>
      <protection hidden="1"/>
    </xf>
    <xf numFmtId="0" fontId="158" fillId="7" borderId="3" xfId="2" applyFont="1" applyFill="1" applyBorder="1" applyAlignment="1" applyProtection="1">
      <alignment horizontal="center" vertical="center"/>
      <protection hidden="1"/>
    </xf>
    <xf numFmtId="0" fontId="158" fillId="7" borderId="19" xfId="2" applyFont="1" applyFill="1" applyBorder="1" applyAlignment="1" applyProtection="1">
      <alignment horizontal="center" vertical="center"/>
      <protection hidden="1"/>
    </xf>
    <xf numFmtId="0" fontId="20" fillId="0" borderId="95" xfId="2" applyFont="1" applyFill="1" applyBorder="1" applyAlignment="1" applyProtection="1">
      <alignment horizontal="center" vertical="center" textRotation="90" wrapText="1"/>
      <protection hidden="1"/>
    </xf>
    <xf numFmtId="0" fontId="20" fillId="0" borderId="136" xfId="2" applyFont="1" applyFill="1" applyBorder="1" applyAlignment="1" applyProtection="1">
      <alignment horizontal="center" vertical="center" textRotation="90" wrapText="1"/>
      <protection hidden="1"/>
    </xf>
    <xf numFmtId="0" fontId="20" fillId="0" borderId="63" xfId="2" applyFont="1" applyFill="1" applyBorder="1" applyAlignment="1" applyProtection="1">
      <alignment horizontal="center" vertical="center" textRotation="90" wrapText="1"/>
      <protection hidden="1"/>
    </xf>
    <xf numFmtId="0" fontId="13" fillId="0" borderId="148" xfId="2" applyFont="1" applyFill="1" applyBorder="1" applyAlignment="1" applyProtection="1">
      <alignment horizontal="right" vertical="center"/>
      <protection hidden="1"/>
    </xf>
    <xf numFmtId="0" fontId="13" fillId="0" borderId="47" xfId="2" applyFont="1" applyFill="1" applyBorder="1" applyAlignment="1" applyProtection="1">
      <alignment horizontal="right" vertical="center"/>
      <protection hidden="1"/>
    </xf>
    <xf numFmtId="0" fontId="158" fillId="7" borderId="21" xfId="2" applyNumberFormat="1" applyFont="1" applyFill="1" applyBorder="1" applyAlignment="1" applyProtection="1">
      <alignment horizontal="center" vertical="center"/>
      <protection hidden="1"/>
    </xf>
    <xf numFmtId="0" fontId="158" fillId="7" borderId="19" xfId="2" applyNumberFormat="1" applyFont="1" applyFill="1" applyBorder="1" applyAlignment="1" applyProtection="1">
      <alignment horizontal="center" vertical="center"/>
      <protection hidden="1"/>
    </xf>
    <xf numFmtId="0" fontId="158" fillId="3" borderId="10" xfId="2" applyFont="1" applyFill="1" applyBorder="1" applyAlignment="1" applyProtection="1">
      <alignment horizontal="center" vertical="center" wrapText="1"/>
      <protection hidden="1"/>
    </xf>
    <xf numFmtId="0" fontId="158" fillId="3" borderId="12" xfId="2" applyFont="1" applyFill="1" applyBorder="1" applyAlignment="1" applyProtection="1">
      <alignment horizontal="center" vertical="center" wrapText="1"/>
      <protection hidden="1"/>
    </xf>
    <xf numFmtId="0" fontId="104" fillId="0" borderId="9" xfId="2" applyFont="1" applyFill="1" applyBorder="1" applyAlignment="1" applyProtection="1">
      <alignment horizontal="center" vertical="center" wrapText="1"/>
      <protection hidden="1"/>
    </xf>
    <xf numFmtId="0" fontId="104" fillId="0" borderId="11" xfId="2" applyFont="1" applyFill="1" applyBorder="1" applyAlignment="1" applyProtection="1">
      <alignment horizontal="center" vertical="center" wrapText="1"/>
      <protection hidden="1"/>
    </xf>
    <xf numFmtId="0" fontId="20" fillId="0" borderId="153" xfId="2" applyFont="1" applyFill="1" applyBorder="1" applyAlignment="1" applyProtection="1">
      <alignment horizontal="right" vertical="center" wrapText="1"/>
      <protection hidden="1"/>
    </xf>
    <xf numFmtId="0" fontId="20" fillId="0" borderId="49" xfId="2" applyFont="1" applyFill="1" applyBorder="1" applyAlignment="1" applyProtection="1">
      <alignment horizontal="right" vertical="center" wrapText="1"/>
      <protection hidden="1"/>
    </xf>
    <xf numFmtId="0" fontId="20" fillId="0" borderId="160" xfId="2" applyFont="1" applyFill="1" applyBorder="1" applyAlignment="1" applyProtection="1">
      <alignment horizontal="right" vertical="center" wrapText="1"/>
      <protection hidden="1"/>
    </xf>
    <xf numFmtId="0" fontId="20" fillId="0" borderId="27" xfId="2" applyFont="1" applyFill="1" applyBorder="1" applyAlignment="1" applyProtection="1">
      <alignment horizontal="right" vertical="center" wrapText="1"/>
      <protection hidden="1"/>
    </xf>
    <xf numFmtId="0" fontId="103" fillId="13" borderId="49" xfId="2" applyFont="1" applyFill="1" applyBorder="1" applyAlignment="1" applyProtection="1">
      <alignment horizontal="center" vertical="center" wrapText="1"/>
      <protection hidden="1"/>
    </xf>
    <xf numFmtId="0" fontId="103" fillId="13" borderId="102" xfId="2" applyFont="1" applyFill="1" applyBorder="1" applyAlignment="1" applyProtection="1">
      <alignment horizontal="center" vertical="center" wrapText="1"/>
      <protection hidden="1"/>
    </xf>
    <xf numFmtId="0" fontId="103" fillId="13" borderId="24" xfId="2" applyFont="1" applyFill="1" applyBorder="1" applyAlignment="1" applyProtection="1">
      <alignment horizontal="center" vertical="center" wrapText="1"/>
      <protection hidden="1"/>
    </xf>
    <xf numFmtId="0" fontId="103" fillId="13" borderId="22" xfId="2" applyFont="1" applyFill="1" applyBorder="1" applyAlignment="1" applyProtection="1">
      <alignment horizontal="center" vertical="center" wrapText="1"/>
      <protection hidden="1"/>
    </xf>
    <xf numFmtId="0" fontId="13" fillId="0" borderId="153" xfId="2" applyFont="1" applyFill="1" applyBorder="1" applyAlignment="1" applyProtection="1">
      <alignment horizontal="center" vertical="center" wrapText="1"/>
      <protection hidden="1"/>
    </xf>
    <xf numFmtId="0" fontId="13" fillId="0" borderId="49" xfId="2" applyFont="1" applyFill="1" applyBorder="1" applyAlignment="1" applyProtection="1">
      <alignment horizontal="center" vertical="center" wrapText="1"/>
      <protection hidden="1"/>
    </xf>
    <xf numFmtId="0" fontId="13" fillId="0" borderId="27" xfId="2" applyFont="1" applyFill="1" applyBorder="1" applyAlignment="1" applyProtection="1">
      <alignment horizontal="center" vertical="center" wrapText="1"/>
      <protection hidden="1"/>
    </xf>
    <xf numFmtId="0" fontId="13" fillId="0" borderId="24" xfId="2" applyFont="1" applyFill="1" applyBorder="1" applyAlignment="1" applyProtection="1">
      <alignment horizontal="center" vertical="center" wrapText="1"/>
      <protection hidden="1"/>
    </xf>
    <xf numFmtId="0" fontId="10" fillId="0" borderId="160" xfId="2" applyFont="1" applyFill="1" applyBorder="1" applyAlignment="1" applyProtection="1">
      <alignment horizontal="right" vertical="center" wrapText="1"/>
      <protection hidden="1"/>
    </xf>
    <xf numFmtId="0" fontId="10" fillId="0" borderId="25" xfId="2" applyFont="1" applyFill="1" applyBorder="1" applyAlignment="1" applyProtection="1">
      <alignment horizontal="right" vertical="center" wrapText="1"/>
      <protection hidden="1"/>
    </xf>
    <xf numFmtId="0" fontId="158" fillId="3" borderId="21" xfId="2" applyFont="1" applyFill="1" applyBorder="1" applyAlignment="1" applyProtection="1">
      <alignment horizontal="center" vertical="center"/>
      <protection hidden="1"/>
    </xf>
    <xf numFmtId="0" fontId="158" fillId="3" borderId="19" xfId="2" applyFont="1" applyFill="1" applyBorder="1" applyAlignment="1" applyProtection="1">
      <alignment horizontal="center" vertical="center"/>
      <protection hidden="1"/>
    </xf>
    <xf numFmtId="49" fontId="103" fillId="10" borderId="153" xfId="2" applyNumberFormat="1" applyFont="1" applyFill="1" applyBorder="1" applyAlignment="1" applyProtection="1">
      <alignment horizontal="center" vertical="center" wrapText="1"/>
      <protection hidden="1"/>
    </xf>
    <xf numFmtId="49" fontId="103" fillId="10" borderId="102" xfId="2" applyNumberFormat="1" applyFont="1" applyFill="1" applyBorder="1" applyAlignment="1" applyProtection="1">
      <alignment horizontal="center" vertical="center" wrapText="1"/>
      <protection hidden="1"/>
    </xf>
    <xf numFmtId="49" fontId="103" fillId="10" borderId="27" xfId="2" applyNumberFormat="1" applyFont="1" applyFill="1" applyBorder="1" applyAlignment="1" applyProtection="1">
      <alignment horizontal="center" vertical="center" wrapText="1"/>
      <protection hidden="1"/>
    </xf>
    <xf numFmtId="49" fontId="103" fillId="10" borderId="22" xfId="2" applyNumberFormat="1" applyFont="1" applyFill="1" applyBorder="1" applyAlignment="1" applyProtection="1">
      <alignment horizontal="center" vertical="center" wrapText="1"/>
      <protection hidden="1"/>
    </xf>
    <xf numFmtId="0" fontId="13" fillId="0" borderId="152" xfId="2" applyFont="1" applyFill="1" applyBorder="1" applyAlignment="1" applyProtection="1">
      <alignment horizontal="center" vertical="center" wrapText="1"/>
      <protection hidden="1"/>
    </xf>
    <xf numFmtId="0" fontId="13" fillId="0" borderId="51" xfId="2" applyFont="1" applyFill="1" applyBorder="1" applyAlignment="1" applyProtection="1">
      <alignment horizontal="center" vertical="center" wrapText="1"/>
      <protection hidden="1"/>
    </xf>
    <xf numFmtId="0" fontId="13" fillId="0" borderId="26" xfId="2" applyFont="1" applyFill="1" applyBorder="1" applyAlignment="1" applyProtection="1">
      <alignment horizontal="center" vertical="center" wrapText="1"/>
      <protection hidden="1"/>
    </xf>
    <xf numFmtId="0" fontId="10" fillId="0" borderId="153" xfId="2" applyFont="1" applyFill="1" applyBorder="1" applyAlignment="1" applyProtection="1">
      <alignment horizontal="right" vertical="center" wrapText="1"/>
      <protection hidden="1"/>
    </xf>
    <xf numFmtId="0" fontId="10" fillId="0" borderId="14" xfId="2" applyFont="1" applyFill="1" applyBorder="1" applyAlignment="1" applyProtection="1">
      <alignment horizontal="right" vertical="center" wrapText="1"/>
      <protection hidden="1"/>
    </xf>
    <xf numFmtId="0" fontId="10" fillId="0" borderId="6" xfId="2" applyFont="1" applyFill="1" applyBorder="1" applyAlignment="1" applyProtection="1">
      <alignment horizontal="right" vertical="center" wrapText="1"/>
      <protection hidden="1"/>
    </xf>
    <xf numFmtId="0" fontId="104" fillId="0" borderId="10" xfId="2" applyFont="1" applyFill="1" applyBorder="1" applyAlignment="1" applyProtection="1">
      <alignment horizontal="center" vertical="center"/>
      <protection hidden="1"/>
    </xf>
    <xf numFmtId="0" fontId="104" fillId="0" borderId="12" xfId="2" applyFont="1" applyFill="1" applyBorder="1" applyAlignment="1" applyProtection="1">
      <alignment horizontal="center" vertical="center"/>
      <protection hidden="1"/>
    </xf>
    <xf numFmtId="0" fontId="17" fillId="0" borderId="0" xfId="2" applyFont="1" applyFill="1" applyBorder="1" applyAlignment="1" applyProtection="1">
      <alignment horizontal="center" vertical="center"/>
      <protection hidden="1"/>
    </xf>
    <xf numFmtId="0" fontId="17" fillId="0" borderId="28" xfId="2" applyFont="1" applyFill="1" applyBorder="1" applyAlignment="1" applyProtection="1">
      <alignment horizontal="center" vertical="center"/>
      <protection hidden="1"/>
    </xf>
    <xf numFmtId="0" fontId="10" fillId="0" borderId="70" xfId="2" applyFont="1" applyFill="1" applyBorder="1" applyAlignment="1" applyProtection="1">
      <alignment horizontal="right" vertical="center"/>
      <protection hidden="1"/>
    </xf>
    <xf numFmtId="0" fontId="10" fillId="0" borderId="135" xfId="2" applyFont="1" applyFill="1" applyBorder="1" applyAlignment="1" applyProtection="1">
      <alignment horizontal="right" vertical="center"/>
      <protection hidden="1"/>
    </xf>
    <xf numFmtId="0" fontId="10" fillId="0" borderId="27" xfId="2" applyFont="1" applyFill="1" applyBorder="1" applyAlignment="1" applyProtection="1">
      <alignment horizontal="right" vertical="center"/>
      <protection hidden="1"/>
    </xf>
    <xf numFmtId="0" fontId="10" fillId="0" borderId="25" xfId="2" applyFont="1" applyFill="1" applyBorder="1" applyAlignment="1" applyProtection="1">
      <alignment horizontal="right" vertical="center"/>
      <protection hidden="1"/>
    </xf>
    <xf numFmtId="0" fontId="10" fillId="0" borderId="153" xfId="2" applyFont="1" applyFill="1" applyBorder="1" applyAlignment="1" applyProtection="1">
      <alignment horizontal="left" wrapText="1"/>
      <protection hidden="1"/>
    </xf>
    <xf numFmtId="0" fontId="10" fillId="0" borderId="160" xfId="2" applyFont="1" applyFill="1" applyBorder="1" applyAlignment="1" applyProtection="1">
      <alignment horizontal="left" wrapText="1"/>
      <protection hidden="1"/>
    </xf>
    <xf numFmtId="0" fontId="13" fillId="0" borderId="148" xfId="2" applyFont="1" applyFill="1" applyBorder="1" applyAlignment="1" applyProtection="1">
      <alignment horizontal="center" vertical="center" wrapText="1"/>
      <protection hidden="1"/>
    </xf>
    <xf numFmtId="0" fontId="13" fillId="0" borderId="160" xfId="2" applyFont="1" applyFill="1" applyBorder="1" applyAlignment="1" applyProtection="1">
      <alignment horizontal="center" vertical="center" wrapText="1"/>
      <protection hidden="1"/>
    </xf>
    <xf numFmtId="0" fontId="13" fillId="0" borderId="58" xfId="2" applyFont="1" applyFill="1" applyBorder="1" applyAlignment="1" applyProtection="1">
      <alignment horizontal="center" vertical="center" wrapText="1"/>
      <protection hidden="1"/>
    </xf>
    <xf numFmtId="0" fontId="13" fillId="0" borderId="50" xfId="2" applyFont="1" applyFill="1" applyBorder="1" applyAlignment="1" applyProtection="1">
      <alignment horizontal="center" vertical="center" wrapText="1"/>
      <protection hidden="1"/>
    </xf>
    <xf numFmtId="0" fontId="13" fillId="0" borderId="47" xfId="2" applyFont="1" applyFill="1" applyBorder="1" applyAlignment="1" applyProtection="1">
      <alignment horizontal="center" vertical="center" wrapText="1"/>
      <protection hidden="1"/>
    </xf>
    <xf numFmtId="0" fontId="13" fillId="0" borderId="25" xfId="2" applyFont="1" applyFill="1" applyBorder="1" applyAlignment="1" applyProtection="1">
      <alignment horizontal="center" vertical="center" wrapText="1"/>
      <protection hidden="1"/>
    </xf>
    <xf numFmtId="0" fontId="10" fillId="0" borderId="27" xfId="2" applyFont="1" applyFill="1" applyBorder="1" applyAlignment="1" applyProtection="1">
      <alignment horizontal="right" vertical="center" wrapText="1"/>
      <protection hidden="1"/>
    </xf>
    <xf numFmtId="0" fontId="10" fillId="0" borderId="153" xfId="2" applyFont="1" applyFill="1" applyBorder="1" applyAlignment="1" applyProtection="1">
      <alignment horizontal="right" wrapText="1"/>
      <protection hidden="1"/>
    </xf>
    <xf numFmtId="0" fontId="10" fillId="0" borderId="160" xfId="2" applyFont="1" applyFill="1" applyBorder="1" applyAlignment="1" applyProtection="1">
      <alignment horizontal="right" wrapText="1"/>
      <protection hidden="1"/>
    </xf>
    <xf numFmtId="0" fontId="10" fillId="0" borderId="27" xfId="2" applyFont="1" applyFill="1" applyBorder="1" applyAlignment="1" applyProtection="1">
      <alignment horizontal="right" wrapText="1"/>
      <protection hidden="1"/>
    </xf>
    <xf numFmtId="0" fontId="10" fillId="0" borderId="25" xfId="2" applyFont="1" applyFill="1" applyBorder="1" applyAlignment="1" applyProtection="1">
      <alignment horizontal="right" wrapText="1"/>
      <protection hidden="1"/>
    </xf>
    <xf numFmtId="0" fontId="158" fillId="0" borderId="153" xfId="2" applyFont="1" applyFill="1" applyBorder="1" applyAlignment="1" applyProtection="1">
      <alignment horizontal="center" vertical="center" wrapText="1"/>
      <protection hidden="1"/>
    </xf>
    <xf numFmtId="0" fontId="158" fillId="0" borderId="49" xfId="2" applyFont="1" applyFill="1" applyBorder="1" applyAlignment="1" applyProtection="1">
      <alignment horizontal="center" vertical="center" wrapText="1"/>
      <protection hidden="1"/>
    </xf>
    <xf numFmtId="0" fontId="158" fillId="0" borderId="160" xfId="2" applyFont="1" applyFill="1" applyBorder="1" applyAlignment="1" applyProtection="1">
      <alignment horizontal="center" vertical="center" wrapText="1"/>
      <protection hidden="1"/>
    </xf>
    <xf numFmtId="0" fontId="158" fillId="0" borderId="27" xfId="2" applyFont="1" applyFill="1" applyBorder="1" applyAlignment="1" applyProtection="1">
      <alignment horizontal="center" vertical="center" wrapText="1"/>
      <protection hidden="1"/>
    </xf>
    <xf numFmtId="0" fontId="158" fillId="0" borderId="24" xfId="2" applyFont="1" applyFill="1" applyBorder="1" applyAlignment="1" applyProtection="1">
      <alignment horizontal="center" vertical="center" wrapText="1"/>
      <protection hidden="1"/>
    </xf>
    <xf numFmtId="0" fontId="158" fillId="0" borderId="25" xfId="2" applyFont="1" applyFill="1" applyBorder="1" applyAlignment="1" applyProtection="1">
      <alignment horizontal="center" vertical="center" wrapText="1"/>
      <protection hidden="1"/>
    </xf>
    <xf numFmtId="0" fontId="158" fillId="7" borderId="14" xfId="2" applyFont="1" applyFill="1" applyBorder="1" applyAlignment="1" applyProtection="1">
      <alignment horizontal="center" vertical="center"/>
      <protection hidden="1"/>
    </xf>
    <xf numFmtId="0" fontId="158" fillId="7" borderId="6" xfId="2" applyFont="1" applyFill="1" applyBorder="1" applyAlignment="1" applyProtection="1">
      <alignment horizontal="center" vertical="center"/>
      <protection hidden="1"/>
    </xf>
    <xf numFmtId="0" fontId="115" fillId="0" borderId="9" xfId="2" applyFont="1" applyFill="1" applyBorder="1" applyAlignment="1" applyProtection="1">
      <alignment horizontal="center" vertical="center"/>
      <protection hidden="1"/>
    </xf>
    <xf numFmtId="0" fontId="115" fillId="0" borderId="11" xfId="2" applyFont="1" applyFill="1" applyBorder="1" applyAlignment="1" applyProtection="1">
      <alignment horizontal="center" vertical="center"/>
      <protection hidden="1"/>
    </xf>
    <xf numFmtId="0" fontId="10" fillId="0" borderId="153" xfId="2" applyFont="1" applyFill="1" applyBorder="1" applyAlignment="1" applyProtection="1">
      <alignment horizontal="center" vertical="center"/>
      <protection hidden="1"/>
    </xf>
    <xf numFmtId="0" fontId="10" fillId="0" borderId="160" xfId="2" applyFont="1" applyFill="1" applyBorder="1" applyAlignment="1" applyProtection="1">
      <alignment horizontal="center" vertical="center"/>
      <protection hidden="1"/>
    </xf>
    <xf numFmtId="0" fontId="10" fillId="0" borderId="27" xfId="2" applyFont="1" applyFill="1" applyBorder="1" applyAlignment="1" applyProtection="1">
      <alignment horizontal="center" vertical="center"/>
      <protection hidden="1"/>
    </xf>
    <xf numFmtId="0" fontId="10" fillId="0" borderId="25" xfId="2" applyFont="1" applyFill="1" applyBorder="1" applyAlignment="1" applyProtection="1">
      <alignment horizontal="center" vertical="center"/>
      <protection hidden="1"/>
    </xf>
    <xf numFmtId="49" fontId="158" fillId="7" borderId="21" xfId="2" applyNumberFormat="1" applyFont="1" applyFill="1" applyBorder="1" applyAlignment="1" applyProtection="1">
      <alignment horizontal="center" vertical="center"/>
      <protection hidden="1"/>
    </xf>
    <xf numFmtId="49" fontId="158" fillId="7" borderId="19" xfId="2" applyNumberFormat="1" applyFont="1" applyFill="1" applyBorder="1" applyAlignment="1" applyProtection="1">
      <alignment horizontal="center" vertical="center"/>
      <protection hidden="1"/>
    </xf>
    <xf numFmtId="0" fontId="158" fillId="7" borderId="21" xfId="2" applyFont="1" applyFill="1" applyBorder="1" applyAlignment="1" applyProtection="1">
      <alignment horizontal="center" vertical="center"/>
      <protection hidden="1"/>
    </xf>
    <xf numFmtId="0" fontId="65" fillId="0" borderId="153" xfId="2" applyFont="1" applyFill="1" applyBorder="1" applyAlignment="1" applyProtection="1">
      <alignment horizontal="center" vertical="center" wrapText="1"/>
      <protection hidden="1"/>
    </xf>
    <xf numFmtId="0" fontId="65" fillId="0" borderId="49" xfId="2" applyFont="1" applyFill="1" applyBorder="1" applyAlignment="1" applyProtection="1">
      <alignment horizontal="center" vertical="center" wrapText="1"/>
      <protection hidden="1"/>
    </xf>
    <xf numFmtId="0" fontId="65" fillId="0" borderId="102" xfId="2" applyFont="1" applyFill="1" applyBorder="1" applyAlignment="1" applyProtection="1">
      <alignment horizontal="center" vertical="center" wrapText="1"/>
      <protection hidden="1"/>
    </xf>
    <xf numFmtId="0" fontId="65" fillId="0" borderId="27" xfId="2" applyFont="1" applyFill="1" applyBorder="1" applyAlignment="1" applyProtection="1">
      <alignment horizontal="center" vertical="center" wrapText="1"/>
      <protection hidden="1"/>
    </xf>
    <xf numFmtId="0" fontId="65" fillId="0" borderId="24" xfId="2" applyFont="1" applyFill="1" applyBorder="1" applyAlignment="1" applyProtection="1">
      <alignment horizontal="center" vertical="center" wrapText="1"/>
      <protection hidden="1"/>
    </xf>
    <xf numFmtId="0" fontId="65" fillId="0" borderId="22" xfId="2" applyFont="1" applyFill="1" applyBorder="1" applyAlignment="1" applyProtection="1">
      <alignment horizontal="center" vertical="center" wrapText="1"/>
      <protection hidden="1"/>
    </xf>
    <xf numFmtId="0" fontId="20" fillId="0" borderId="148" xfId="2" applyFont="1" applyFill="1" applyBorder="1" applyAlignment="1" applyProtection="1">
      <alignment horizontal="center" vertical="center" wrapText="1"/>
      <protection hidden="1"/>
    </xf>
    <xf numFmtId="0" fontId="20" fillId="0" borderId="160" xfId="2" applyFont="1" applyFill="1" applyBorder="1" applyAlignment="1" applyProtection="1">
      <alignment horizontal="center" vertical="center" wrapText="1"/>
      <protection hidden="1"/>
    </xf>
    <xf numFmtId="0" fontId="20" fillId="0" borderId="58" xfId="2" applyFont="1" applyFill="1" applyBorder="1" applyAlignment="1" applyProtection="1">
      <alignment horizontal="center" vertical="center" wrapText="1"/>
      <protection hidden="1"/>
    </xf>
    <xf numFmtId="0" fontId="20" fillId="0" borderId="50" xfId="2" applyFont="1" applyFill="1" applyBorder="1" applyAlignment="1" applyProtection="1">
      <alignment horizontal="center" vertical="center" wrapText="1"/>
      <protection hidden="1"/>
    </xf>
    <xf numFmtId="0" fontId="20" fillId="0" borderId="47" xfId="2" applyFont="1" applyFill="1" applyBorder="1" applyAlignment="1" applyProtection="1">
      <alignment horizontal="center" vertical="center" wrapText="1"/>
      <protection hidden="1"/>
    </xf>
    <xf numFmtId="0" fontId="20" fillId="0" borderId="25" xfId="2" applyFont="1" applyFill="1" applyBorder="1" applyAlignment="1" applyProtection="1">
      <alignment horizontal="center" vertical="center" wrapText="1"/>
      <protection hidden="1"/>
    </xf>
    <xf numFmtId="0" fontId="10" fillId="0" borderId="52" xfId="2" applyFont="1" applyFill="1" applyBorder="1" applyAlignment="1" applyProtection="1">
      <alignment horizontal="right" vertical="center" wrapText="1"/>
      <protection hidden="1"/>
    </xf>
    <xf numFmtId="0" fontId="10" fillId="0" borderId="50" xfId="2" applyFont="1" applyFill="1" applyBorder="1" applyAlignment="1" applyProtection="1">
      <alignment horizontal="right" vertical="center" wrapText="1"/>
      <protection hidden="1"/>
    </xf>
    <xf numFmtId="49" fontId="104" fillId="12" borderId="14" xfId="2" applyNumberFormat="1" applyFont="1" applyFill="1" applyBorder="1" applyAlignment="1" applyProtection="1">
      <alignment horizontal="left" vertical="center" wrapText="1"/>
      <protection hidden="1"/>
    </xf>
    <xf numFmtId="49" fontId="104" fillId="12" borderId="16" xfId="2" applyNumberFormat="1" applyFont="1" applyFill="1" applyBorder="1" applyAlignment="1" applyProtection="1">
      <alignment horizontal="left" vertical="center" wrapText="1"/>
      <protection hidden="1"/>
    </xf>
    <xf numFmtId="49" fontId="104" fillId="12" borderId="240" xfId="2" applyNumberFormat="1" applyFont="1" applyFill="1" applyBorder="1" applyAlignment="1" applyProtection="1">
      <alignment horizontal="left" vertical="center" wrapText="1"/>
      <protection hidden="1"/>
    </xf>
    <xf numFmtId="0" fontId="10" fillId="0" borderId="153" xfId="2" applyFont="1" applyFill="1" applyBorder="1" applyAlignment="1" applyProtection="1">
      <alignment horizontal="right" vertical="center"/>
      <protection hidden="1"/>
    </xf>
    <xf numFmtId="0" fontId="10" fillId="0" borderId="160" xfId="2" applyFont="1" applyFill="1" applyBorder="1" applyAlignment="1" applyProtection="1">
      <alignment horizontal="right" vertical="center"/>
      <protection hidden="1"/>
    </xf>
    <xf numFmtId="49" fontId="88" fillId="12" borderId="3" xfId="2" applyNumberFormat="1" applyFont="1" applyFill="1" applyBorder="1" applyAlignment="1" applyProtection="1">
      <alignment horizontal="left" vertical="center"/>
      <protection hidden="1"/>
    </xf>
    <xf numFmtId="49" fontId="88" fillId="12" borderId="4" xfId="2" applyNumberFormat="1" applyFont="1" applyFill="1" applyBorder="1" applyAlignment="1" applyProtection="1">
      <alignment horizontal="left" vertical="center"/>
      <protection hidden="1"/>
    </xf>
    <xf numFmtId="49" fontId="88" fillId="12" borderId="8" xfId="2" applyNumberFormat="1" applyFont="1" applyFill="1" applyBorder="1" applyAlignment="1" applyProtection="1">
      <alignment horizontal="left" vertical="center"/>
      <protection hidden="1"/>
    </xf>
    <xf numFmtId="49" fontId="88" fillId="12" borderId="23" xfId="2" applyNumberFormat="1" applyFont="1" applyFill="1" applyBorder="1" applyAlignment="1" applyProtection="1">
      <alignment horizontal="left" vertical="center"/>
      <protection hidden="1"/>
    </xf>
    <xf numFmtId="0" fontId="20" fillId="0" borderId="49" xfId="2" applyFont="1" applyFill="1" applyBorder="1" applyAlignment="1" applyProtection="1">
      <alignment horizontal="center" vertical="center" wrapText="1"/>
      <protection hidden="1"/>
    </xf>
    <xf numFmtId="0" fontId="20" fillId="0" borderId="24" xfId="2" applyFont="1" applyFill="1" applyBorder="1" applyAlignment="1" applyProtection="1">
      <alignment horizontal="center" vertical="center" wrapText="1"/>
      <protection hidden="1"/>
    </xf>
    <xf numFmtId="0" fontId="17" fillId="0" borderId="21" xfId="2" applyFont="1" applyFill="1" applyBorder="1" applyAlignment="1" applyProtection="1">
      <alignment horizontal="right" vertical="center" wrapText="1"/>
      <protection hidden="1"/>
    </xf>
    <xf numFmtId="0" fontId="17" fillId="0" borderId="19" xfId="2" applyFont="1" applyFill="1" applyBorder="1" applyAlignment="1" applyProtection="1">
      <alignment horizontal="right" vertical="center" wrapText="1"/>
      <protection hidden="1"/>
    </xf>
    <xf numFmtId="0" fontId="15" fillId="5" borderId="247" xfId="2" applyFont="1" applyFill="1" applyBorder="1" applyAlignment="1" applyProtection="1">
      <alignment horizontal="center" vertical="center" wrapText="1"/>
      <protection hidden="1"/>
    </xf>
    <xf numFmtId="0" fontId="15" fillId="5" borderId="49" xfId="2" applyFont="1" applyFill="1" applyBorder="1" applyAlignment="1" applyProtection="1">
      <alignment horizontal="center" vertical="center" wrapText="1"/>
      <protection hidden="1"/>
    </xf>
    <xf numFmtId="0" fontId="15" fillId="5" borderId="102" xfId="2" applyFont="1" applyFill="1" applyBorder="1" applyAlignment="1" applyProtection="1">
      <alignment horizontal="center" vertical="center" wrapText="1"/>
      <protection hidden="1"/>
    </xf>
    <xf numFmtId="0" fontId="15" fillId="5" borderId="257" xfId="2" applyFont="1" applyFill="1" applyBorder="1" applyAlignment="1" applyProtection="1">
      <alignment horizontal="center" vertical="center" wrapText="1"/>
      <protection hidden="1"/>
    </xf>
    <xf numFmtId="0" fontId="15" fillId="5" borderId="16" xfId="2" applyFont="1" applyFill="1" applyBorder="1" applyAlignment="1" applyProtection="1">
      <alignment horizontal="center" vertical="center" wrapText="1"/>
      <protection hidden="1"/>
    </xf>
    <xf numFmtId="0" fontId="15" fillId="5" borderId="18" xfId="2" applyFont="1" applyFill="1" applyBorder="1" applyAlignment="1" applyProtection="1">
      <alignment horizontal="center" vertical="center" wrapText="1"/>
      <protection hidden="1"/>
    </xf>
    <xf numFmtId="0" fontId="17" fillId="0" borderId="9" xfId="2" applyFont="1" applyFill="1" applyBorder="1" applyAlignment="1" applyProtection="1">
      <alignment horizontal="right" vertical="center" wrapText="1"/>
      <protection hidden="1"/>
    </xf>
    <xf numFmtId="0" fontId="17" fillId="0" borderId="11" xfId="2" applyFont="1" applyFill="1" applyBorder="1" applyAlignment="1" applyProtection="1">
      <alignment horizontal="right" vertical="center" wrapText="1"/>
      <protection hidden="1"/>
    </xf>
    <xf numFmtId="0" fontId="47" fillId="14" borderId="44" xfId="2" applyFont="1" applyFill="1" applyBorder="1" applyAlignment="1" applyProtection="1">
      <alignment horizontal="center" vertical="center"/>
      <protection hidden="1"/>
    </xf>
    <xf numFmtId="0" fontId="47" fillId="14" borderId="17" xfId="2" applyFont="1" applyFill="1" applyBorder="1" applyAlignment="1" applyProtection="1">
      <alignment horizontal="center" vertical="center"/>
      <protection hidden="1"/>
    </xf>
    <xf numFmtId="0" fontId="47" fillId="14" borderId="29" xfId="2" applyFont="1" applyFill="1" applyBorder="1" applyAlignment="1" applyProtection="1">
      <alignment horizontal="center" vertical="center"/>
      <protection hidden="1"/>
    </xf>
    <xf numFmtId="0" fontId="47" fillId="14" borderId="15" xfId="2" applyFont="1" applyFill="1" applyBorder="1" applyAlignment="1" applyProtection="1">
      <alignment horizontal="center" vertical="center"/>
      <protection hidden="1"/>
    </xf>
    <xf numFmtId="0" fontId="12" fillId="6" borderId="148" xfId="2" applyFont="1" applyFill="1" applyBorder="1" applyAlignment="1" applyProtection="1">
      <alignment horizontal="center" vertical="center" wrapText="1"/>
      <protection hidden="1"/>
    </xf>
    <xf numFmtId="0" fontId="12" fillId="6" borderId="49" xfId="2" applyFont="1" applyFill="1" applyBorder="1" applyAlignment="1" applyProtection="1">
      <alignment horizontal="center" vertical="center" wrapText="1"/>
      <protection hidden="1"/>
    </xf>
    <xf numFmtId="0" fontId="12" fillId="6" borderId="102" xfId="2" applyFont="1" applyFill="1" applyBorder="1" applyAlignment="1" applyProtection="1">
      <alignment horizontal="center" vertical="center" wrapText="1"/>
      <protection hidden="1"/>
    </xf>
    <xf numFmtId="0" fontId="12" fillId="6" borderId="47" xfId="2" applyFont="1" applyFill="1" applyBorder="1" applyAlignment="1" applyProtection="1">
      <alignment horizontal="center" vertical="center" wrapText="1"/>
      <protection hidden="1"/>
    </xf>
    <xf numFmtId="0" fontId="12" fillId="6" borderId="24" xfId="2" applyFont="1" applyFill="1" applyBorder="1" applyAlignment="1" applyProtection="1">
      <alignment horizontal="center" vertical="center" wrapText="1"/>
      <protection hidden="1"/>
    </xf>
    <xf numFmtId="0" fontId="12" fillId="6" borderId="22" xfId="2" applyFont="1" applyFill="1" applyBorder="1" applyAlignment="1" applyProtection="1">
      <alignment horizontal="center" vertical="center" wrapText="1"/>
      <protection hidden="1"/>
    </xf>
    <xf numFmtId="49" fontId="195" fillId="12" borderId="3" xfId="2" applyNumberFormat="1" applyFont="1" applyFill="1" applyBorder="1" applyAlignment="1" applyProtection="1">
      <alignment horizontal="left" vertical="center"/>
      <protection hidden="1"/>
    </xf>
    <xf numFmtId="49" fontId="196" fillId="12" borderId="3" xfId="2" applyNumberFormat="1" applyFont="1" applyFill="1" applyBorder="1" applyAlignment="1" applyProtection="1">
      <alignment horizontal="left" vertical="center" wrapText="1"/>
      <protection hidden="1"/>
    </xf>
    <xf numFmtId="0" fontId="3" fillId="18" borderId="65" xfId="0" applyFont="1" applyFill="1" applyBorder="1" applyAlignment="1" applyProtection="1">
      <alignment horizontal="right" vertical="center"/>
      <protection hidden="1"/>
    </xf>
    <xf numFmtId="0" fontId="3" fillId="18" borderId="50" xfId="0" applyFont="1" applyFill="1" applyBorder="1" applyAlignment="1" applyProtection="1">
      <alignment horizontal="right" vertical="center"/>
      <protection hidden="1"/>
    </xf>
    <xf numFmtId="0" fontId="3" fillId="18" borderId="96" xfId="0" applyFont="1" applyFill="1" applyBorder="1" applyAlignment="1" applyProtection="1">
      <alignment horizontal="right" vertical="center"/>
      <protection hidden="1"/>
    </xf>
    <xf numFmtId="0" fontId="3" fillId="18" borderId="174" xfId="0" applyFont="1" applyFill="1" applyBorder="1" applyAlignment="1" applyProtection="1">
      <alignment horizontal="right" vertical="center"/>
      <protection hidden="1"/>
    </xf>
    <xf numFmtId="0" fontId="2" fillId="18" borderId="21" xfId="0" applyFont="1" applyFill="1" applyBorder="1" applyAlignment="1" applyProtection="1">
      <alignment horizontal="right" vertical="center"/>
      <protection hidden="1"/>
    </xf>
    <xf numFmtId="0" fontId="2" fillId="18" borderId="19" xfId="0" applyFont="1" applyFill="1" applyBorder="1" applyAlignment="1" applyProtection="1">
      <alignment horizontal="right" vertical="center"/>
      <protection hidden="1"/>
    </xf>
    <xf numFmtId="0" fontId="2" fillId="18" borderId="41" xfId="0" applyFont="1" applyFill="1" applyBorder="1" applyAlignment="1" applyProtection="1">
      <alignment horizontal="right" vertical="center"/>
      <protection hidden="1"/>
    </xf>
    <xf numFmtId="0" fontId="2" fillId="18" borderId="60" xfId="0" applyFont="1" applyFill="1" applyBorder="1" applyAlignment="1" applyProtection="1">
      <alignment horizontal="right" vertical="center"/>
      <protection hidden="1"/>
    </xf>
    <xf numFmtId="0" fontId="3" fillId="18" borderId="173" xfId="0" applyFont="1" applyFill="1" applyBorder="1" applyAlignment="1" applyProtection="1">
      <alignment horizontal="right" vertical="center"/>
      <protection hidden="1"/>
    </xf>
    <xf numFmtId="0" fontId="3" fillId="18" borderId="140" xfId="0" applyFont="1" applyFill="1" applyBorder="1" applyAlignment="1" applyProtection="1">
      <alignment horizontal="right" vertical="center"/>
      <protection hidden="1"/>
    </xf>
    <xf numFmtId="0" fontId="3" fillId="18" borderId="184" xfId="0" applyFont="1" applyFill="1" applyBorder="1" applyAlignment="1" applyProtection="1">
      <alignment horizontal="right" vertical="center"/>
      <protection hidden="1"/>
    </xf>
    <xf numFmtId="0" fontId="3" fillId="18" borderId="61" xfId="0" applyFont="1" applyFill="1" applyBorder="1" applyAlignment="1" applyProtection="1">
      <alignment horizontal="right" vertical="center"/>
      <protection hidden="1"/>
    </xf>
    <xf numFmtId="0" fontId="3" fillId="18" borderId="5" xfId="0" applyFont="1" applyFill="1" applyBorder="1" applyAlignment="1" applyProtection="1">
      <alignment horizontal="right" vertical="center"/>
      <protection hidden="1"/>
    </xf>
    <xf numFmtId="0" fontId="3" fillId="18" borderId="12" xfId="0" applyFont="1" applyFill="1" applyBorder="1" applyAlignment="1" applyProtection="1">
      <alignment horizontal="right" vertical="center"/>
      <protection hidden="1"/>
    </xf>
    <xf numFmtId="0" fontId="3" fillId="18" borderId="45" xfId="0" applyFont="1" applyFill="1" applyBorder="1" applyAlignment="1" applyProtection="1">
      <alignment horizontal="right" vertical="center"/>
      <protection hidden="1"/>
    </xf>
    <xf numFmtId="0" fontId="3" fillId="18" borderId="8" xfId="0" applyFont="1" applyFill="1" applyBorder="1" applyAlignment="1" applyProtection="1">
      <alignment horizontal="right" vertical="center"/>
      <protection hidden="1"/>
    </xf>
    <xf numFmtId="0" fontId="3" fillId="18" borderId="11" xfId="0" applyFont="1" applyFill="1" applyBorder="1" applyAlignment="1" applyProtection="1">
      <alignment horizontal="right" vertical="center"/>
      <protection hidden="1"/>
    </xf>
    <xf numFmtId="0" fontId="3" fillId="18" borderId="119" xfId="0" applyFont="1" applyFill="1" applyBorder="1" applyAlignment="1" applyProtection="1">
      <alignment horizontal="center" vertical="center" wrapText="1"/>
      <protection hidden="1"/>
    </xf>
    <xf numFmtId="0" fontId="3" fillId="18" borderId="160" xfId="0" applyFont="1" applyFill="1" applyBorder="1" applyAlignment="1" applyProtection="1">
      <alignment horizontal="center" vertical="center" wrapText="1"/>
      <protection hidden="1"/>
    </xf>
    <xf numFmtId="0" fontId="3" fillId="18" borderId="66" xfId="0" applyFont="1" applyFill="1" applyBorder="1" applyAlignment="1" applyProtection="1">
      <alignment horizontal="center" vertical="center" wrapText="1"/>
      <protection hidden="1"/>
    </xf>
    <xf numFmtId="0" fontId="3" fillId="18" borderId="25" xfId="0" applyFont="1" applyFill="1" applyBorder="1" applyAlignment="1" applyProtection="1">
      <alignment horizontal="center" vertical="center" wrapText="1"/>
      <protection hidden="1"/>
    </xf>
    <xf numFmtId="0" fontId="3" fillId="18" borderId="21" xfId="0" applyFont="1" applyFill="1" applyBorder="1" applyAlignment="1" applyProtection="1">
      <alignment horizontal="right" vertical="center"/>
      <protection hidden="1"/>
    </xf>
    <xf numFmtId="0" fontId="3" fillId="18" borderId="19" xfId="0" applyFont="1" applyFill="1" applyBorder="1" applyAlignment="1" applyProtection="1">
      <alignment horizontal="right" vertical="center"/>
      <protection hidden="1"/>
    </xf>
    <xf numFmtId="0" fontId="3" fillId="18" borderId="9" xfId="0" applyFont="1" applyFill="1" applyBorder="1" applyAlignment="1" applyProtection="1">
      <alignment horizontal="right" vertical="center"/>
      <protection hidden="1"/>
    </xf>
    <xf numFmtId="0" fontId="30" fillId="18" borderId="21" xfId="0" applyFont="1" applyFill="1" applyBorder="1" applyAlignment="1" applyProtection="1">
      <alignment horizontal="left" vertical="center"/>
      <protection hidden="1"/>
    </xf>
    <xf numFmtId="0" fontId="30" fillId="18" borderId="38" xfId="0" applyFont="1" applyFill="1" applyBorder="1" applyAlignment="1" applyProtection="1">
      <alignment horizontal="left" vertical="center"/>
      <protection hidden="1"/>
    </xf>
    <xf numFmtId="0" fontId="3" fillId="18" borderId="9" xfId="0" applyFont="1" applyFill="1" applyBorder="1" applyAlignment="1" applyProtection="1">
      <alignment horizontal="left" vertical="center"/>
      <protection hidden="1"/>
    </xf>
    <xf numFmtId="0" fontId="3" fillId="18" borderId="33" xfId="0" applyFont="1" applyFill="1" applyBorder="1" applyAlignment="1" applyProtection="1">
      <alignment horizontal="left" vertical="center"/>
      <protection hidden="1"/>
    </xf>
    <xf numFmtId="0" fontId="3" fillId="18" borderId="119" xfId="0" applyFont="1" applyFill="1" applyBorder="1" applyAlignment="1" applyProtection="1">
      <alignment horizontal="right" vertical="center"/>
      <protection hidden="1"/>
    </xf>
    <xf numFmtId="0" fontId="3" fillId="18" borderId="160" xfId="0" applyFont="1" applyFill="1" applyBorder="1" applyAlignment="1" applyProtection="1">
      <alignment horizontal="right" vertical="center"/>
      <protection hidden="1"/>
    </xf>
    <xf numFmtId="0" fontId="3" fillId="18" borderId="66" xfId="0" applyFont="1" applyFill="1" applyBorder="1" applyAlignment="1" applyProtection="1">
      <alignment horizontal="right" vertical="center"/>
      <protection hidden="1"/>
    </xf>
    <xf numFmtId="0" fontId="3" fillId="18" borderId="25" xfId="0" applyFont="1" applyFill="1" applyBorder="1" applyAlignment="1" applyProtection="1">
      <alignment horizontal="right" vertical="center"/>
      <protection hidden="1"/>
    </xf>
    <xf numFmtId="0" fontId="3" fillId="18" borderId="65" xfId="0" applyFont="1" applyFill="1" applyBorder="1" applyAlignment="1" applyProtection="1">
      <alignment horizontal="center" vertical="center" wrapText="1"/>
      <protection hidden="1"/>
    </xf>
    <xf numFmtId="0" fontId="3" fillId="18" borderId="50" xfId="0" applyFont="1" applyFill="1" applyBorder="1" applyAlignment="1" applyProtection="1">
      <alignment horizontal="center" vertical="center" wrapText="1"/>
      <protection hidden="1"/>
    </xf>
    <xf numFmtId="0" fontId="3" fillId="18" borderId="153" xfId="0" applyFont="1" applyFill="1" applyBorder="1" applyAlignment="1" applyProtection="1">
      <alignment horizontal="right" vertical="center"/>
      <protection hidden="1"/>
    </xf>
    <xf numFmtId="0" fontId="3" fillId="18" borderId="52" xfId="0" applyFont="1" applyFill="1" applyBorder="1" applyAlignment="1" applyProtection="1">
      <alignment horizontal="right" vertical="center"/>
      <protection hidden="1"/>
    </xf>
    <xf numFmtId="0" fontId="3" fillId="18" borderId="14" xfId="0" applyFont="1" applyFill="1" applyBorder="1" applyAlignment="1" applyProtection="1">
      <alignment horizontal="right" vertical="center"/>
      <protection hidden="1"/>
    </xf>
    <xf numFmtId="0" fontId="3" fillId="18" borderId="6" xfId="0" applyFont="1" applyFill="1" applyBorder="1" applyAlignment="1" applyProtection="1">
      <alignment horizontal="right" vertical="center"/>
      <protection hidden="1"/>
    </xf>
    <xf numFmtId="0" fontId="3" fillId="18" borderId="126" xfId="0" applyFont="1" applyFill="1" applyBorder="1" applyAlignment="1" applyProtection="1">
      <alignment horizontal="right" vertical="center"/>
      <protection hidden="1"/>
    </xf>
    <xf numFmtId="0" fontId="3" fillId="18" borderId="3" xfId="0" applyFont="1" applyFill="1" applyBorder="1" applyAlignment="1" applyProtection="1">
      <alignment horizontal="right" vertical="center"/>
      <protection hidden="1"/>
    </xf>
    <xf numFmtId="0" fontId="3" fillId="18" borderId="69" xfId="0" applyFont="1" applyFill="1" applyBorder="1" applyAlignment="1" applyProtection="1">
      <alignment horizontal="right" vertical="center"/>
      <protection hidden="1"/>
    </xf>
    <xf numFmtId="0" fontId="3" fillId="18" borderId="39" xfId="0" applyFont="1" applyFill="1" applyBorder="1" applyAlignment="1" applyProtection="1">
      <alignment horizontal="right" vertical="center"/>
      <protection hidden="1"/>
    </xf>
    <xf numFmtId="0" fontId="3" fillId="18" borderId="29" xfId="0" applyFont="1" applyFill="1" applyBorder="1" applyAlignment="1" applyProtection="1">
      <alignment horizontal="right" vertical="center"/>
      <protection hidden="1"/>
    </xf>
    <xf numFmtId="0" fontId="3" fillId="18" borderId="15" xfId="0" applyFont="1" applyFill="1" applyBorder="1" applyAlignment="1" applyProtection="1">
      <alignment horizontal="right" vertical="center"/>
      <protection hidden="1"/>
    </xf>
    <xf numFmtId="0" fontId="3" fillId="18" borderId="17" xfId="0" applyFont="1" applyFill="1" applyBorder="1" applyAlignment="1" applyProtection="1">
      <alignment horizontal="right" vertical="center"/>
      <protection hidden="1"/>
    </xf>
    <xf numFmtId="0" fontId="2" fillId="18" borderId="83" xfId="0" applyFont="1" applyFill="1" applyBorder="1" applyAlignment="1" applyProtection="1">
      <alignment horizontal="right"/>
      <protection hidden="1"/>
    </xf>
    <xf numFmtId="0" fontId="2" fillId="18" borderId="193" xfId="0" applyFont="1" applyFill="1" applyBorder="1" applyAlignment="1" applyProtection="1">
      <alignment horizontal="right"/>
      <protection hidden="1"/>
    </xf>
    <xf numFmtId="0" fontId="2" fillId="18" borderId="205" xfId="0" applyFont="1" applyFill="1" applyBorder="1" applyAlignment="1" applyProtection="1">
      <alignment horizontal="right"/>
      <protection hidden="1"/>
    </xf>
    <xf numFmtId="0" fontId="14" fillId="18" borderId="0" xfId="0" applyFont="1" applyFill="1" applyBorder="1" applyAlignment="1" applyProtection="1">
      <alignment horizontal="left" vertical="center"/>
      <protection hidden="1"/>
    </xf>
    <xf numFmtId="0" fontId="2" fillId="7" borderId="145" xfId="0" applyFont="1" applyFill="1" applyBorder="1" applyAlignment="1" applyProtection="1">
      <alignment horizontal="center" vertical="center"/>
      <protection hidden="1"/>
    </xf>
    <xf numFmtId="0" fontId="2" fillId="7" borderId="131" xfId="0" applyFont="1" applyFill="1" applyBorder="1" applyAlignment="1" applyProtection="1">
      <alignment horizontal="center" vertical="center"/>
      <protection hidden="1"/>
    </xf>
    <xf numFmtId="0" fontId="2" fillId="7" borderId="156" xfId="0" applyFont="1" applyFill="1" applyBorder="1" applyAlignment="1" applyProtection="1">
      <alignment horizontal="center" vertical="center"/>
      <protection hidden="1"/>
    </xf>
    <xf numFmtId="0" fontId="2" fillId="7" borderId="178" xfId="0" applyFont="1" applyFill="1" applyBorder="1" applyAlignment="1" applyProtection="1">
      <alignment horizontal="center" vertical="center"/>
      <protection hidden="1"/>
    </xf>
    <xf numFmtId="0" fontId="2" fillId="7" borderId="171" xfId="0" applyFont="1" applyFill="1" applyBorder="1" applyAlignment="1" applyProtection="1">
      <alignment horizontal="center" vertical="center"/>
      <protection hidden="1"/>
    </xf>
    <xf numFmtId="0" fontId="51" fillId="18" borderId="119" xfId="0" applyFont="1" applyFill="1" applyBorder="1" applyAlignment="1" applyProtection="1">
      <alignment horizontal="right" vertical="center"/>
      <protection hidden="1"/>
    </xf>
    <xf numFmtId="0" fontId="51" fillId="18" borderId="49" xfId="0" applyFont="1" applyFill="1" applyBorder="1" applyAlignment="1" applyProtection="1">
      <alignment horizontal="right" vertical="center"/>
      <protection hidden="1"/>
    </xf>
    <xf numFmtId="0" fontId="51" fillId="18" borderId="96" xfId="0" applyFont="1" applyFill="1" applyBorder="1" applyAlignment="1" applyProtection="1">
      <alignment horizontal="right" vertical="center"/>
      <protection hidden="1"/>
    </xf>
    <xf numFmtId="0" fontId="51" fillId="18" borderId="64" xfId="0" applyFont="1" applyFill="1" applyBorder="1" applyAlignment="1" applyProtection="1">
      <alignment horizontal="right" vertical="center"/>
      <protection hidden="1"/>
    </xf>
    <xf numFmtId="0" fontId="31" fillId="18" borderId="49" xfId="0" applyFont="1" applyFill="1" applyBorder="1" applyAlignment="1" applyProtection="1">
      <alignment vertical="center" wrapText="1"/>
      <protection hidden="1"/>
    </xf>
    <xf numFmtId="0" fontId="31" fillId="18" borderId="157" xfId="0" applyFont="1" applyFill="1" applyBorder="1" applyAlignment="1" applyProtection="1">
      <alignment vertical="center" wrapText="1"/>
      <protection hidden="1"/>
    </xf>
    <xf numFmtId="0" fontId="31" fillId="18" borderId="64" xfId="0" applyFont="1" applyFill="1" applyBorder="1" applyAlignment="1" applyProtection="1">
      <alignment vertical="center" wrapText="1"/>
      <protection hidden="1"/>
    </xf>
    <xf numFmtId="0" fontId="31" fillId="18" borderId="76" xfId="0" applyFont="1" applyFill="1" applyBorder="1" applyAlignment="1" applyProtection="1">
      <alignment vertical="center" wrapText="1"/>
      <protection hidden="1"/>
    </xf>
    <xf numFmtId="0" fontId="3" fillId="18" borderId="276" xfId="0" applyFont="1" applyFill="1" applyBorder="1" applyAlignment="1" applyProtection="1">
      <alignment horizontal="right" vertical="center" wrapText="1"/>
      <protection hidden="1"/>
    </xf>
    <xf numFmtId="0" fontId="3" fillId="18" borderId="277" xfId="0" applyFont="1" applyFill="1" applyBorder="1" applyAlignment="1" applyProtection="1">
      <alignment horizontal="right" vertical="center" wrapText="1"/>
      <protection hidden="1"/>
    </xf>
    <xf numFmtId="0" fontId="3" fillId="18" borderId="63" xfId="0" applyFont="1" applyFill="1" applyBorder="1" applyAlignment="1" applyProtection="1">
      <alignment horizontal="right" vertical="center" wrapText="1"/>
      <protection hidden="1"/>
    </xf>
    <xf numFmtId="0" fontId="3" fillId="18" borderId="26" xfId="0" applyFont="1" applyFill="1" applyBorder="1" applyAlignment="1" applyProtection="1">
      <alignment horizontal="right" vertical="center" wrapText="1"/>
      <protection hidden="1"/>
    </xf>
    <xf numFmtId="0" fontId="109" fillId="18" borderId="277" xfId="0" applyFont="1" applyFill="1" applyBorder="1" applyAlignment="1" applyProtection="1">
      <alignment horizontal="center" vertical="center"/>
      <protection locked="0"/>
    </xf>
    <xf numFmtId="0" fontId="109" fillId="18" borderId="26" xfId="0" applyFont="1" applyFill="1" applyBorder="1" applyAlignment="1" applyProtection="1">
      <alignment horizontal="center" vertical="center"/>
      <protection locked="0"/>
    </xf>
    <xf numFmtId="0" fontId="3" fillId="18" borderId="0" xfId="0" applyFont="1" applyFill="1" applyBorder="1" applyAlignment="1" applyProtection="1">
      <alignment vertical="center"/>
      <protection hidden="1"/>
    </xf>
    <xf numFmtId="0" fontId="3" fillId="18" borderId="24" xfId="0" applyFont="1" applyFill="1" applyBorder="1" applyAlignment="1" applyProtection="1">
      <alignment vertical="center"/>
      <protection hidden="1"/>
    </xf>
    <xf numFmtId="0" fontId="41" fillId="18" borderId="68" xfId="0" applyFont="1" applyFill="1" applyBorder="1" applyAlignment="1" applyProtection="1">
      <alignment horizontal="right" vertical="center"/>
      <protection hidden="1"/>
    </xf>
    <xf numFmtId="0" fontId="41" fillId="18" borderId="12" xfId="0" applyFont="1" applyFill="1" applyBorder="1" applyAlignment="1" applyProtection="1">
      <alignment horizontal="right" vertical="center"/>
      <protection hidden="1"/>
    </xf>
    <xf numFmtId="0" fontId="41" fillId="18" borderId="119" xfId="0" applyFont="1" applyFill="1" applyBorder="1" applyAlignment="1" applyProtection="1">
      <alignment horizontal="right" vertical="center"/>
      <protection hidden="1"/>
    </xf>
    <xf numFmtId="0" fontId="41" fillId="18" borderId="160" xfId="0" applyFont="1" applyFill="1" applyBorder="1" applyAlignment="1" applyProtection="1">
      <alignment horizontal="right" vertical="center"/>
      <protection hidden="1"/>
    </xf>
    <xf numFmtId="0" fontId="41" fillId="18" borderId="66" xfId="0" applyFont="1" applyFill="1" applyBorder="1" applyAlignment="1" applyProtection="1">
      <alignment horizontal="right" vertical="center"/>
      <protection hidden="1"/>
    </xf>
    <xf numFmtId="0" fontId="41" fillId="18" borderId="25" xfId="0" applyFont="1" applyFill="1" applyBorder="1" applyAlignment="1" applyProtection="1">
      <alignment horizontal="right" vertical="center"/>
      <protection hidden="1"/>
    </xf>
    <xf numFmtId="0" fontId="3" fillId="18" borderId="66" xfId="0" applyFont="1" applyFill="1" applyBorder="1" applyAlignment="1" applyProtection="1">
      <alignment horizontal="center" vertical="center"/>
      <protection hidden="1"/>
    </xf>
    <xf numFmtId="0" fontId="3" fillId="18" borderId="25" xfId="0" applyFont="1" applyFill="1" applyBorder="1" applyAlignment="1" applyProtection="1">
      <alignment horizontal="center" vertical="center"/>
      <protection hidden="1"/>
    </xf>
    <xf numFmtId="0" fontId="32" fillId="18" borderId="185" xfId="0" applyFont="1" applyFill="1" applyBorder="1" applyAlignment="1" applyProtection="1">
      <alignment horizontal="right" vertical="top"/>
      <protection hidden="1"/>
    </xf>
    <xf numFmtId="0" fontId="32" fillId="18" borderId="186" xfId="0" applyFont="1" applyFill="1" applyBorder="1" applyAlignment="1" applyProtection="1">
      <alignment horizontal="right" vertical="top"/>
      <protection hidden="1"/>
    </xf>
    <xf numFmtId="0" fontId="3" fillId="18" borderId="67" xfId="0" applyFont="1" applyFill="1" applyBorder="1" applyAlignment="1" applyProtection="1">
      <alignment horizontal="right" vertical="center"/>
      <protection hidden="1"/>
    </xf>
    <xf numFmtId="0" fontId="41" fillId="18" borderId="120" xfId="0" applyFont="1" applyFill="1" applyBorder="1" applyAlignment="1" applyProtection="1">
      <alignment horizontal="right" vertical="center"/>
      <protection hidden="1"/>
    </xf>
    <xf numFmtId="0" fontId="41" fillId="18" borderId="135" xfId="0" applyFont="1" applyFill="1" applyBorder="1" applyAlignment="1" applyProtection="1">
      <alignment horizontal="right" vertical="center"/>
      <protection hidden="1"/>
    </xf>
    <xf numFmtId="0" fontId="3" fillId="18" borderId="10" xfId="0" applyFont="1" applyFill="1" applyBorder="1" applyAlignment="1" applyProtection="1">
      <alignment horizontal="right" vertical="center"/>
      <protection hidden="1"/>
    </xf>
    <xf numFmtId="0" fontId="125" fillId="18" borderId="8" xfId="0" applyFont="1" applyFill="1" applyBorder="1" applyAlignment="1" applyProtection="1">
      <alignment vertical="center"/>
      <protection hidden="1"/>
    </xf>
    <xf numFmtId="0" fontId="125" fillId="18" borderId="33" xfId="0" applyFont="1" applyFill="1" applyBorder="1" applyAlignment="1" applyProtection="1">
      <alignment vertical="center"/>
      <protection hidden="1"/>
    </xf>
    <xf numFmtId="0" fontId="41" fillId="18" borderId="19" xfId="0" applyFont="1" applyFill="1" applyBorder="1" applyAlignment="1" applyProtection="1">
      <alignment horizontal="right" vertical="center"/>
      <protection hidden="1"/>
    </xf>
    <xf numFmtId="0" fontId="28" fillId="18" borderId="24" xfId="0" applyFont="1" applyFill="1" applyBorder="1" applyAlignment="1" applyProtection="1">
      <alignment horizontal="center" vertical="center"/>
      <protection hidden="1"/>
    </xf>
    <xf numFmtId="0" fontId="12" fillId="18" borderId="148" xfId="0" applyFont="1" applyFill="1" applyBorder="1" applyAlignment="1" applyProtection="1">
      <alignment horizontal="center" vertical="top" wrapText="1"/>
      <protection hidden="1"/>
    </xf>
    <xf numFmtId="0" fontId="12" fillId="18" borderId="102" xfId="0" applyFont="1" applyFill="1" applyBorder="1" applyAlignment="1" applyProtection="1">
      <alignment horizontal="center" vertical="top" wrapText="1"/>
      <protection hidden="1"/>
    </xf>
    <xf numFmtId="0" fontId="14" fillId="18" borderId="0" xfId="0" applyFont="1" applyFill="1" applyBorder="1" applyAlignment="1" applyProtection="1">
      <alignment vertical="center"/>
      <protection hidden="1"/>
    </xf>
    <xf numFmtId="0" fontId="14" fillId="18" borderId="193" xfId="0" applyFont="1" applyFill="1" applyBorder="1" applyAlignment="1" applyProtection="1">
      <alignment vertical="center"/>
      <protection hidden="1"/>
    </xf>
    <xf numFmtId="0" fontId="14" fillId="18" borderId="272" xfId="0" applyFont="1" applyFill="1" applyBorder="1" applyAlignment="1" applyProtection="1">
      <alignment vertical="center"/>
      <protection hidden="1"/>
    </xf>
    <xf numFmtId="0" fontId="2" fillId="7" borderId="176" xfId="0" applyFont="1" applyFill="1" applyBorder="1" applyAlignment="1" applyProtection="1">
      <alignment horizontal="center" vertical="center"/>
      <protection hidden="1"/>
    </xf>
    <xf numFmtId="0" fontId="2" fillId="7" borderId="206" xfId="0" applyFont="1" applyFill="1" applyBorder="1" applyAlignment="1" applyProtection="1">
      <alignment horizontal="center" vertical="center"/>
      <protection hidden="1"/>
    </xf>
    <xf numFmtId="0" fontId="2" fillId="7" borderId="177" xfId="0" applyFont="1" applyFill="1" applyBorder="1" applyAlignment="1" applyProtection="1">
      <alignment horizontal="center" vertical="center"/>
      <protection hidden="1"/>
    </xf>
    <xf numFmtId="0" fontId="2" fillId="7" borderId="179" xfId="0" applyFont="1" applyFill="1" applyBorder="1" applyAlignment="1" applyProtection="1">
      <alignment horizontal="center" vertical="center"/>
      <protection hidden="1"/>
    </xf>
    <xf numFmtId="0" fontId="2" fillId="7" borderId="180" xfId="0" applyFont="1" applyFill="1" applyBorder="1" applyAlignment="1" applyProtection="1">
      <alignment horizontal="center" vertical="center"/>
      <protection hidden="1"/>
    </xf>
    <xf numFmtId="0" fontId="3" fillId="18" borderId="168" xfId="0" applyFont="1" applyFill="1" applyBorder="1" applyAlignment="1" applyProtection="1">
      <alignment horizontal="right" vertical="center"/>
      <protection hidden="1"/>
    </xf>
    <xf numFmtId="0" fontId="3" fillId="18" borderId="37" xfId="0" applyFont="1" applyFill="1" applyBorder="1" applyAlignment="1" applyProtection="1">
      <alignment horizontal="right" vertical="center"/>
      <protection hidden="1"/>
    </xf>
    <xf numFmtId="0" fontId="31" fillId="18" borderId="49" xfId="0" applyFont="1" applyFill="1" applyBorder="1" applyAlignment="1" applyProtection="1">
      <alignment horizontal="left" vertical="center" wrapText="1"/>
      <protection hidden="1"/>
    </xf>
    <xf numFmtId="0" fontId="31" fillId="18" borderId="157" xfId="0" applyFont="1" applyFill="1" applyBorder="1" applyAlignment="1" applyProtection="1">
      <alignment horizontal="left" vertical="center" wrapText="1"/>
      <protection hidden="1"/>
    </xf>
    <xf numFmtId="0" fontId="31" fillId="18" borderId="64" xfId="0" applyFont="1" applyFill="1" applyBorder="1" applyAlignment="1" applyProtection="1">
      <alignment horizontal="left" vertical="center" wrapText="1"/>
      <protection hidden="1"/>
    </xf>
    <xf numFmtId="0" fontId="31" fillId="18" borderId="76" xfId="0" applyFont="1" applyFill="1" applyBorder="1" applyAlignment="1" applyProtection="1">
      <alignment horizontal="left" vertical="center" wrapText="1"/>
      <protection hidden="1"/>
    </xf>
    <xf numFmtId="0" fontId="3" fillId="18" borderId="131" xfId="0" applyFont="1" applyFill="1" applyBorder="1" applyAlignment="1" applyProtection="1">
      <alignment horizontal="right"/>
      <protection hidden="1"/>
    </xf>
    <xf numFmtId="0" fontId="3" fillId="18" borderId="156" xfId="0" applyFont="1" applyFill="1" applyBorder="1" applyAlignment="1" applyProtection="1">
      <alignment horizontal="right"/>
      <protection hidden="1"/>
    </xf>
    <xf numFmtId="0" fontId="3" fillId="18" borderId="170" xfId="0" applyFont="1" applyFill="1" applyBorder="1" applyAlignment="1" applyProtection="1">
      <alignment horizontal="right" vertical="center"/>
      <protection hidden="1"/>
    </xf>
    <xf numFmtId="0" fontId="3" fillId="18" borderId="131" xfId="0" applyFont="1" applyFill="1" applyBorder="1" applyAlignment="1" applyProtection="1">
      <alignment horizontal="right" vertical="center"/>
      <protection hidden="1"/>
    </xf>
    <xf numFmtId="0" fontId="2" fillId="18" borderId="168" xfId="0" applyFont="1" applyFill="1" applyBorder="1" applyAlignment="1" applyProtection="1">
      <alignment horizontal="right" vertical="center"/>
      <protection hidden="1"/>
    </xf>
    <xf numFmtId="0" fontId="2" fillId="18" borderId="53" xfId="0" applyFont="1" applyFill="1" applyBorder="1" applyAlignment="1" applyProtection="1">
      <alignment horizontal="right" vertical="center"/>
      <protection hidden="1"/>
    </xf>
    <xf numFmtId="0" fontId="2" fillId="18" borderId="37" xfId="0" applyFont="1" applyFill="1" applyBorder="1" applyAlignment="1" applyProtection="1">
      <alignment horizontal="right" vertical="center"/>
      <protection hidden="1"/>
    </xf>
    <xf numFmtId="0" fontId="3" fillId="18" borderId="44" xfId="0" applyFont="1" applyFill="1" applyBorder="1" applyAlignment="1" applyProtection="1">
      <alignment horizontal="right" vertical="center"/>
      <protection hidden="1"/>
    </xf>
    <xf numFmtId="0" fontId="10" fillId="18" borderId="69" xfId="0" applyFont="1" applyFill="1" applyBorder="1" applyAlignment="1" applyProtection="1">
      <alignment horizontal="right" vertical="center"/>
      <protection hidden="1"/>
    </xf>
    <xf numFmtId="0" fontId="10" fillId="18" borderId="8" xfId="0" applyFont="1" applyFill="1" applyBorder="1" applyAlignment="1" applyProtection="1">
      <alignment horizontal="right" vertical="center"/>
      <protection hidden="1"/>
    </xf>
    <xf numFmtId="0" fontId="10" fillId="18" borderId="11" xfId="0" applyFont="1" applyFill="1" applyBorder="1" applyAlignment="1" applyProtection="1">
      <alignment horizontal="right" vertical="center"/>
      <protection hidden="1"/>
    </xf>
    <xf numFmtId="0" fontId="3" fillId="18" borderId="168" xfId="0" applyFont="1" applyFill="1" applyBorder="1" applyAlignment="1" applyProtection="1">
      <alignment horizontal="right" vertical="center" wrapText="1"/>
      <protection hidden="1"/>
    </xf>
    <xf numFmtId="0" fontId="3" fillId="18" borderId="53" xfId="0" applyFont="1" applyFill="1" applyBorder="1" applyAlignment="1" applyProtection="1">
      <alignment horizontal="right" vertical="center" wrapText="1"/>
      <protection hidden="1"/>
    </xf>
    <xf numFmtId="0" fontId="3" fillId="18" borderId="37" xfId="0" applyFont="1" applyFill="1" applyBorder="1" applyAlignment="1" applyProtection="1">
      <alignment horizontal="right" vertical="center" wrapText="1"/>
      <protection hidden="1"/>
    </xf>
    <xf numFmtId="0" fontId="3" fillId="18" borderId="39" xfId="0" applyFont="1" applyFill="1" applyBorder="1" applyAlignment="1" applyProtection="1">
      <alignment horizontal="center" vertical="center"/>
      <protection hidden="1"/>
    </xf>
    <xf numFmtId="0" fontId="3" fillId="18" borderId="17" xfId="0" applyFont="1" applyFill="1" applyBorder="1" applyAlignment="1" applyProtection="1">
      <alignment horizontal="center" vertical="center"/>
      <protection hidden="1"/>
    </xf>
    <xf numFmtId="0" fontId="3" fillId="18" borderId="39" xfId="0" applyFont="1" applyFill="1" applyBorder="1" applyAlignment="1" applyProtection="1">
      <alignment horizontal="right" vertical="center" wrapText="1"/>
      <protection hidden="1"/>
    </xf>
    <xf numFmtId="0" fontId="3" fillId="18" borderId="17" xfId="0" applyFont="1" applyFill="1" applyBorder="1" applyAlignment="1" applyProtection="1">
      <alignment horizontal="right" vertical="center" wrapText="1"/>
      <protection hidden="1"/>
    </xf>
    <xf numFmtId="0" fontId="3" fillId="18" borderId="29" xfId="0" applyFont="1" applyFill="1" applyBorder="1" applyAlignment="1" applyProtection="1">
      <alignment horizontal="right" vertical="center" wrapText="1"/>
      <protection hidden="1"/>
    </xf>
    <xf numFmtId="0" fontId="2" fillId="18" borderId="17" xfId="0" applyFont="1" applyFill="1" applyBorder="1" applyAlignment="1" applyProtection="1">
      <alignment horizontal="right" vertical="center"/>
      <protection hidden="1"/>
    </xf>
    <xf numFmtId="0" fontId="2" fillId="18" borderId="29" xfId="0" applyFont="1" applyFill="1" applyBorder="1" applyAlignment="1" applyProtection="1">
      <alignment horizontal="right" vertical="center"/>
      <protection hidden="1"/>
    </xf>
    <xf numFmtId="0" fontId="51" fillId="18" borderId="119" xfId="0" applyFont="1" applyFill="1" applyBorder="1" applyAlignment="1" applyProtection="1">
      <alignment horizontal="right" vertical="center" wrapText="1"/>
      <protection hidden="1"/>
    </xf>
    <xf numFmtId="0" fontId="51" fillId="18" borderId="49" xfId="0" applyFont="1" applyFill="1" applyBorder="1" applyAlignment="1" applyProtection="1">
      <alignment horizontal="right" vertical="center" wrapText="1"/>
      <protection hidden="1"/>
    </xf>
    <xf numFmtId="0" fontId="51" fillId="18" borderId="96" xfId="0" applyFont="1" applyFill="1" applyBorder="1" applyAlignment="1" applyProtection="1">
      <alignment horizontal="right" vertical="center" wrapText="1"/>
      <protection hidden="1"/>
    </xf>
    <xf numFmtId="0" fontId="51" fillId="18" borderId="64" xfId="0" applyFont="1" applyFill="1" applyBorder="1" applyAlignment="1" applyProtection="1">
      <alignment horizontal="right" vertical="center" wrapText="1"/>
      <protection hidden="1"/>
    </xf>
    <xf numFmtId="0" fontId="10" fillId="18" borderId="68" xfId="0" applyFont="1" applyFill="1" applyBorder="1" applyAlignment="1" applyProtection="1">
      <alignment horizontal="right" vertical="center"/>
      <protection hidden="1"/>
    </xf>
    <xf numFmtId="0" fontId="10" fillId="18" borderId="5" xfId="0" applyFont="1" applyFill="1" applyBorder="1" applyAlignment="1" applyProtection="1">
      <alignment horizontal="right" vertical="center"/>
      <protection hidden="1"/>
    </xf>
    <xf numFmtId="0" fontId="10" fillId="18" borderId="12" xfId="0" applyFont="1" applyFill="1" applyBorder="1" applyAlignment="1" applyProtection="1">
      <alignment horizontal="right" vertical="center"/>
      <protection hidden="1"/>
    </xf>
    <xf numFmtId="0" fontId="10" fillId="18" borderId="274" xfId="0" applyFont="1" applyFill="1" applyBorder="1" applyAlignment="1" applyProtection="1">
      <alignment horizontal="center" vertical="center" wrapText="1"/>
      <protection hidden="1"/>
    </xf>
    <xf numFmtId="0" fontId="10" fillId="18" borderId="275" xfId="0" applyFont="1" applyFill="1" applyBorder="1" applyAlignment="1" applyProtection="1">
      <alignment horizontal="center" vertical="center" wrapText="1"/>
      <protection hidden="1"/>
    </xf>
    <xf numFmtId="0" fontId="10" fillId="18" borderId="135" xfId="0" applyFont="1" applyFill="1" applyBorder="1" applyAlignment="1" applyProtection="1">
      <alignment horizontal="right" vertical="center"/>
      <protection hidden="1"/>
    </xf>
    <xf numFmtId="0" fontId="10" fillId="18" borderId="6" xfId="0" applyFont="1" applyFill="1" applyBorder="1" applyAlignment="1" applyProtection="1">
      <alignment horizontal="right" vertical="center"/>
      <protection hidden="1"/>
    </xf>
    <xf numFmtId="0" fontId="3" fillId="18" borderId="9" xfId="0" applyFont="1" applyFill="1" applyBorder="1" applyAlignment="1" applyProtection="1">
      <alignment horizontal="right" vertical="center" wrapText="1"/>
      <protection hidden="1"/>
    </xf>
    <xf numFmtId="0" fontId="3" fillId="18" borderId="11" xfId="0" applyFont="1" applyFill="1" applyBorder="1" applyAlignment="1" applyProtection="1">
      <alignment horizontal="right" vertical="center" wrapText="1"/>
      <protection hidden="1"/>
    </xf>
    <xf numFmtId="0" fontId="10" fillId="18" borderId="126" xfId="0" applyFont="1" applyFill="1" applyBorder="1" applyAlignment="1" applyProtection="1">
      <alignment horizontal="right" vertical="center" wrapText="1"/>
      <protection hidden="1"/>
    </xf>
    <xf numFmtId="0" fontId="10" fillId="18" borderId="3" xfId="0" applyFont="1" applyFill="1" applyBorder="1" applyAlignment="1" applyProtection="1">
      <alignment horizontal="right" vertical="center" wrapText="1"/>
      <protection hidden="1"/>
    </xf>
    <xf numFmtId="0" fontId="10" fillId="18" borderId="19" xfId="0" applyFont="1" applyFill="1" applyBorder="1" applyAlignment="1" applyProtection="1">
      <alignment horizontal="right" vertical="center" wrapText="1"/>
      <protection hidden="1"/>
    </xf>
    <xf numFmtId="0" fontId="137" fillId="18" borderId="9" xfId="0" applyFont="1" applyFill="1" applyBorder="1" applyAlignment="1" applyProtection="1">
      <alignment vertical="center"/>
      <protection hidden="1"/>
    </xf>
    <xf numFmtId="0" fontId="137" fillId="18" borderId="33" xfId="0" applyFont="1" applyFill="1" applyBorder="1" applyAlignment="1" applyProtection="1">
      <alignment vertical="center"/>
      <protection hidden="1"/>
    </xf>
    <xf numFmtId="0" fontId="10" fillId="18" borderId="68" xfId="0" applyFont="1" applyFill="1" applyBorder="1" applyAlignment="1" applyProtection="1">
      <alignment horizontal="right" vertical="center" wrapText="1"/>
      <protection hidden="1"/>
    </xf>
    <xf numFmtId="0" fontId="10" fillId="18" borderId="5" xfId="0" applyFont="1" applyFill="1" applyBorder="1" applyAlignment="1" applyProtection="1">
      <alignment horizontal="right" vertical="center" wrapText="1"/>
      <protection hidden="1"/>
    </xf>
    <xf numFmtId="0" fontId="10" fillId="18" borderId="12" xfId="0" applyFont="1" applyFill="1" applyBorder="1" applyAlignment="1" applyProtection="1">
      <alignment horizontal="right" vertical="center" wrapText="1"/>
      <protection hidden="1"/>
    </xf>
    <xf numFmtId="0" fontId="3" fillId="18" borderId="203" xfId="0" applyFont="1" applyFill="1" applyBorder="1" applyAlignment="1" applyProtection="1">
      <alignment horizontal="center" vertical="center" wrapText="1"/>
      <protection hidden="1"/>
    </xf>
    <xf numFmtId="0" fontId="3" fillId="18" borderId="37" xfId="0" applyFont="1" applyFill="1" applyBorder="1" applyAlignment="1" applyProtection="1">
      <alignment horizontal="center" vertical="center" wrapText="1"/>
      <protection hidden="1"/>
    </xf>
    <xf numFmtId="0" fontId="10" fillId="18" borderId="62" xfId="0" applyFont="1" applyFill="1" applyBorder="1" applyAlignment="1" applyProtection="1">
      <alignment horizontal="right" vertical="center"/>
      <protection hidden="1"/>
    </xf>
    <xf numFmtId="0" fontId="10" fillId="18" borderId="273" xfId="0" applyFont="1" applyFill="1" applyBorder="1" applyAlignment="1" applyProtection="1">
      <alignment horizontal="right" vertical="center"/>
      <protection hidden="1"/>
    </xf>
    <xf numFmtId="0" fontId="3" fillId="18" borderId="267" xfId="0" applyFont="1" applyFill="1" applyBorder="1" applyAlignment="1" applyProtection="1">
      <alignment horizontal="center" vertical="center"/>
      <protection hidden="1"/>
    </xf>
    <xf numFmtId="0" fontId="3" fillId="18" borderId="204" xfId="0" applyFont="1" applyFill="1" applyBorder="1" applyAlignment="1" applyProtection="1">
      <alignment horizontal="center" vertical="center"/>
      <protection hidden="1"/>
    </xf>
    <xf numFmtId="0" fontId="3" fillId="18" borderId="268" xfId="0" applyFont="1" applyFill="1" applyBorder="1" applyAlignment="1" applyProtection="1">
      <alignment horizontal="center" vertical="center"/>
      <protection hidden="1"/>
    </xf>
    <xf numFmtId="0" fontId="3" fillId="18" borderId="153" xfId="0" applyFont="1" applyFill="1" applyBorder="1" applyAlignment="1" applyProtection="1">
      <alignment horizontal="right" vertical="center" wrapText="1"/>
      <protection hidden="1"/>
    </xf>
    <xf numFmtId="0" fontId="3" fillId="18" borderId="160" xfId="0" applyFont="1" applyFill="1" applyBorder="1" applyAlignment="1" applyProtection="1">
      <alignment horizontal="right" vertical="center" wrapText="1"/>
      <protection hidden="1"/>
    </xf>
    <xf numFmtId="0" fontId="72" fillId="18" borderId="10" xfId="0" applyFont="1" applyFill="1" applyBorder="1" applyAlignment="1" applyProtection="1">
      <alignment horizontal="left" vertical="center"/>
      <protection hidden="1"/>
    </xf>
    <xf numFmtId="0" fontId="72" fillId="18" borderId="32" xfId="0" applyFont="1" applyFill="1" applyBorder="1" applyAlignment="1" applyProtection="1">
      <alignment horizontal="left" vertical="center"/>
      <protection hidden="1"/>
    </xf>
    <xf numFmtId="0" fontId="17" fillId="18" borderId="9" xfId="0" applyFont="1" applyFill="1" applyBorder="1" applyAlignment="1" applyProtection="1">
      <alignment horizontal="right" vertical="center"/>
      <protection hidden="1"/>
    </xf>
    <xf numFmtId="0" fontId="17" fillId="18" borderId="11" xfId="0" applyFont="1" applyFill="1" applyBorder="1" applyAlignment="1" applyProtection="1">
      <alignment horizontal="right" vertical="center"/>
      <protection hidden="1"/>
    </xf>
    <xf numFmtId="0" fontId="3" fillId="18" borderId="53" xfId="0" applyFont="1" applyFill="1" applyBorder="1" applyAlignment="1" applyProtection="1">
      <alignment horizontal="center" vertical="center" wrapText="1"/>
      <protection hidden="1"/>
    </xf>
    <xf numFmtId="0" fontId="65" fillId="18" borderId="14" xfId="0" applyFont="1" applyFill="1" applyBorder="1" applyAlignment="1" applyProtection="1">
      <alignment horizontal="left" vertical="center"/>
      <protection hidden="1"/>
    </xf>
    <xf numFmtId="0" fontId="65" fillId="18" borderId="32" xfId="0" applyFont="1" applyFill="1" applyBorder="1" applyAlignment="1" applyProtection="1">
      <alignment horizontal="left" vertical="center"/>
      <protection hidden="1"/>
    </xf>
    <xf numFmtId="0" fontId="3" fillId="18" borderId="14" xfId="0" applyFont="1" applyFill="1" applyBorder="1" applyAlignment="1" applyProtection="1">
      <alignment horizontal="right" vertical="center" wrapText="1"/>
      <protection hidden="1"/>
    </xf>
    <xf numFmtId="0" fontId="3" fillId="18" borderId="6" xfId="0" applyFont="1" applyFill="1" applyBorder="1" applyAlignment="1" applyProtection="1">
      <alignment horizontal="right" vertical="center" wrapText="1"/>
      <protection hidden="1"/>
    </xf>
    <xf numFmtId="0" fontId="65" fillId="18" borderId="10" xfId="0" applyFont="1" applyFill="1" applyBorder="1" applyAlignment="1" applyProtection="1">
      <alignment horizontal="left" vertical="center"/>
      <protection hidden="1"/>
    </xf>
    <xf numFmtId="0" fontId="65" fillId="18" borderId="34" xfId="0" applyFont="1" applyFill="1" applyBorder="1" applyAlignment="1" applyProtection="1">
      <alignment horizontal="left" vertical="center"/>
      <protection hidden="1"/>
    </xf>
    <xf numFmtId="0" fontId="178" fillId="0" borderId="49" xfId="0" applyFont="1" applyFill="1" applyBorder="1" applyAlignment="1" applyProtection="1">
      <alignment horizontal="left" vertical="top" wrapText="1" indent="1"/>
      <protection hidden="1"/>
    </xf>
    <xf numFmtId="0" fontId="178" fillId="0" borderId="0" xfId="0" applyFont="1" applyFill="1" applyBorder="1" applyAlignment="1" applyProtection="1">
      <alignment horizontal="left" vertical="top" wrapText="1" indent="1"/>
      <protection hidden="1"/>
    </xf>
    <xf numFmtId="0" fontId="45" fillId="18" borderId="111" xfId="0" applyFont="1" applyFill="1" applyBorder="1" applyAlignment="1" applyProtection="1">
      <alignment horizontal="center"/>
      <protection hidden="1"/>
    </xf>
    <xf numFmtId="0" fontId="12" fillId="18" borderId="0" xfId="0" applyFont="1" applyFill="1" applyAlignment="1" applyProtection="1">
      <alignment horizontal="center"/>
      <protection hidden="1"/>
    </xf>
    <xf numFmtId="0" fontId="28" fillId="18" borderId="0" xfId="0" applyFont="1" applyFill="1" applyAlignment="1" applyProtection="1">
      <alignment horizontal="center"/>
      <protection hidden="1"/>
    </xf>
    <xf numFmtId="0" fontId="28" fillId="18" borderId="64" xfId="0" applyFont="1" applyFill="1" applyBorder="1" applyAlignment="1" applyProtection="1">
      <alignment horizontal="center"/>
      <protection hidden="1"/>
    </xf>
    <xf numFmtId="0" fontId="6" fillId="18" borderId="0" xfId="0" applyFont="1" applyFill="1" applyAlignment="1" applyProtection="1">
      <alignment horizontal="center" vertical="top"/>
      <protection hidden="1"/>
    </xf>
    <xf numFmtId="0" fontId="172" fillId="0" borderId="58" xfId="0" applyFont="1" applyFill="1" applyBorder="1" applyAlignment="1" applyProtection="1">
      <alignment horizontal="right" wrapText="1"/>
      <protection hidden="1"/>
    </xf>
    <xf numFmtId="0" fontId="172" fillId="0" borderId="0" xfId="0" applyFont="1" applyFill="1" applyBorder="1" applyAlignment="1" applyProtection="1">
      <alignment horizontal="right" wrapText="1"/>
      <protection hidden="1"/>
    </xf>
    <xf numFmtId="0" fontId="52" fillId="5" borderId="44" xfId="0" applyFont="1" applyFill="1" applyBorder="1" applyAlignment="1" applyProtection="1">
      <alignment horizontal="center" vertical="center"/>
      <protection hidden="1"/>
    </xf>
    <xf numFmtId="0" fontId="52" fillId="5" borderId="17" xfId="0" applyFont="1" applyFill="1" applyBorder="1" applyAlignment="1" applyProtection="1">
      <alignment horizontal="center" vertical="center"/>
      <protection hidden="1"/>
    </xf>
    <xf numFmtId="0" fontId="15" fillId="5" borderId="255" xfId="0" applyFont="1" applyFill="1" applyBorder="1" applyAlignment="1" applyProtection="1">
      <alignment horizontal="center" vertical="center"/>
      <protection hidden="1"/>
    </xf>
    <xf numFmtId="0" fontId="15" fillId="5" borderId="17" xfId="0" applyFont="1" applyFill="1" applyBorder="1" applyAlignment="1" applyProtection="1">
      <alignment horizontal="center" vertical="center"/>
      <protection hidden="1"/>
    </xf>
    <xf numFmtId="0" fontId="15" fillId="5" borderId="254" xfId="0" applyFont="1" applyFill="1" applyBorder="1" applyAlignment="1" applyProtection="1">
      <alignment horizontal="center" vertical="center"/>
      <protection hidden="1"/>
    </xf>
    <xf numFmtId="0" fontId="15" fillId="5" borderId="40" xfId="0" applyFont="1" applyFill="1" applyBorder="1" applyAlignment="1" applyProtection="1">
      <alignment horizontal="center" vertical="center"/>
      <protection hidden="1"/>
    </xf>
    <xf numFmtId="0" fontId="171" fillId="17" borderId="148" xfId="0" applyFont="1" applyFill="1" applyBorder="1" applyAlignment="1" applyProtection="1">
      <alignment horizontal="left" wrapText="1" indent="1"/>
      <protection hidden="1"/>
    </xf>
    <xf numFmtId="0" fontId="171" fillId="17" borderId="49" xfId="0" applyFont="1" applyFill="1" applyBorder="1" applyAlignment="1" applyProtection="1">
      <alignment horizontal="left" wrapText="1" indent="1"/>
      <protection hidden="1"/>
    </xf>
    <xf numFmtId="0" fontId="171" fillId="17" borderId="102" xfId="0" applyFont="1" applyFill="1" applyBorder="1" applyAlignment="1" applyProtection="1">
      <alignment horizontal="left" wrapText="1" indent="1"/>
      <protection hidden="1"/>
    </xf>
    <xf numFmtId="0" fontId="171" fillId="17" borderId="58" xfId="0" applyFont="1" applyFill="1" applyBorder="1" applyAlignment="1" applyProtection="1">
      <alignment horizontal="left" wrapText="1" indent="1"/>
      <protection hidden="1"/>
    </xf>
    <xf numFmtId="0" fontId="171" fillId="17" borderId="0" xfId="0" applyFont="1" applyFill="1" applyBorder="1" applyAlignment="1" applyProtection="1">
      <alignment horizontal="left" wrapText="1" indent="1"/>
      <protection hidden="1"/>
    </xf>
    <xf numFmtId="0" fontId="171" fillId="17" borderId="28" xfId="0" applyFont="1" applyFill="1" applyBorder="1" applyAlignment="1" applyProtection="1">
      <alignment horizontal="left" wrapText="1" indent="1"/>
      <protection hidden="1"/>
    </xf>
    <xf numFmtId="0" fontId="104" fillId="0" borderId="47" xfId="0" applyFont="1" applyFill="1" applyBorder="1" applyAlignment="1" applyProtection="1">
      <alignment horizontal="center"/>
      <protection hidden="1"/>
    </xf>
    <xf numFmtId="0" fontId="104" fillId="0" borderId="24" xfId="0" applyFont="1" applyFill="1" applyBorder="1" applyAlignment="1" applyProtection="1">
      <alignment horizontal="center"/>
      <protection hidden="1"/>
    </xf>
    <xf numFmtId="0" fontId="104" fillId="0" borderId="22" xfId="0" applyFont="1" applyFill="1" applyBorder="1" applyAlignment="1" applyProtection="1">
      <alignment horizontal="center"/>
      <protection hidden="1"/>
    </xf>
    <xf numFmtId="0" fontId="47" fillId="5" borderId="49" xfId="0" applyFont="1" applyFill="1" applyBorder="1" applyAlignment="1" applyProtection="1">
      <alignment horizontal="left" vertical="center" wrapText="1"/>
      <protection locked="0"/>
    </xf>
    <xf numFmtId="0" fontId="47" fillId="5" borderId="102" xfId="0" applyFont="1" applyFill="1" applyBorder="1" applyAlignment="1" applyProtection="1">
      <alignment horizontal="left" vertical="center" wrapText="1"/>
      <protection locked="0"/>
    </xf>
    <xf numFmtId="0" fontId="47" fillId="5" borderId="24" xfId="0" applyFont="1" applyFill="1" applyBorder="1" applyAlignment="1" applyProtection="1">
      <alignment horizontal="left" vertical="center" wrapText="1"/>
      <protection locked="0"/>
    </xf>
    <xf numFmtId="0" fontId="47" fillId="5" borderId="22" xfId="0" applyFont="1" applyFill="1" applyBorder="1" applyAlignment="1" applyProtection="1">
      <alignment horizontal="left" vertical="center" wrapText="1"/>
      <protection locked="0"/>
    </xf>
    <xf numFmtId="0" fontId="165" fillId="0" borderId="0" xfId="0" applyFont="1" applyFill="1" applyBorder="1" applyAlignment="1" applyProtection="1">
      <alignment vertical="center" wrapText="1"/>
      <protection hidden="1"/>
    </xf>
    <xf numFmtId="0" fontId="150" fillId="19" borderId="153" xfId="0" applyFont="1" applyFill="1" applyBorder="1" applyAlignment="1" applyProtection="1">
      <alignment horizontal="center" vertical="center" wrapText="1"/>
      <protection hidden="1"/>
    </xf>
    <xf numFmtId="0" fontId="150" fillId="19" borderId="52" xfId="0" applyFont="1" applyFill="1" applyBorder="1" applyAlignment="1" applyProtection="1">
      <alignment horizontal="center" vertical="center" wrapText="1"/>
      <protection hidden="1"/>
    </xf>
    <xf numFmtId="0" fontId="150" fillId="19" borderId="0" xfId="0" applyFont="1" applyFill="1" applyBorder="1" applyAlignment="1" applyProtection="1">
      <alignment horizontal="center" vertical="center" wrapText="1"/>
      <protection hidden="1"/>
    </xf>
    <xf numFmtId="0" fontId="150" fillId="19" borderId="24" xfId="0" applyFont="1" applyFill="1" applyBorder="1" applyAlignment="1" applyProtection="1">
      <alignment horizontal="center" vertical="center" wrapText="1"/>
      <protection hidden="1"/>
    </xf>
    <xf numFmtId="0" fontId="13" fillId="2" borderId="49" xfId="0" applyFont="1" applyFill="1" applyBorder="1" applyAlignment="1" applyProtection="1">
      <alignment horizontal="left" vertical="center" wrapText="1" indent="2"/>
      <protection hidden="1"/>
    </xf>
    <xf numFmtId="0" fontId="10" fillId="2" borderId="160" xfId="0" applyFont="1" applyFill="1" applyBorder="1" applyAlignment="1" applyProtection="1">
      <alignment horizontal="right" vertical="center" wrapText="1"/>
      <protection hidden="1"/>
    </xf>
    <xf numFmtId="0" fontId="10" fillId="2" borderId="25" xfId="0" applyFont="1" applyFill="1" applyBorder="1" applyAlignment="1" applyProtection="1">
      <alignment horizontal="right" vertical="center" wrapText="1"/>
      <protection hidden="1"/>
    </xf>
    <xf numFmtId="0" fontId="10" fillId="0" borderId="153" xfId="0" applyFont="1" applyFill="1" applyBorder="1" applyAlignment="1" applyProtection="1">
      <alignment horizontal="center" wrapText="1"/>
      <protection hidden="1"/>
    </xf>
    <xf numFmtId="0" fontId="10" fillId="0" borderId="160" xfId="0" applyFont="1" applyFill="1" applyBorder="1" applyAlignment="1" applyProtection="1">
      <alignment horizontal="center" wrapText="1"/>
      <protection hidden="1"/>
    </xf>
    <xf numFmtId="0" fontId="10" fillId="0" borderId="27" xfId="0" applyFont="1" applyFill="1" applyBorder="1" applyAlignment="1" applyProtection="1">
      <alignment horizontal="center" wrapText="1"/>
      <protection hidden="1"/>
    </xf>
    <xf numFmtId="0" fontId="10" fillId="0" borderId="25" xfId="0" applyFont="1" applyFill="1" applyBorder="1" applyAlignment="1" applyProtection="1">
      <alignment horizontal="center" wrapText="1"/>
      <protection hidden="1"/>
    </xf>
    <xf numFmtId="49" fontId="111" fillId="13" borderId="153" xfId="0" applyNumberFormat="1" applyFont="1" applyFill="1" applyBorder="1" applyAlignment="1" applyProtection="1">
      <alignment horizontal="center" vertical="center" wrapText="1"/>
      <protection locked="0"/>
    </xf>
    <xf numFmtId="49" fontId="111" fillId="13" borderId="244" xfId="0" applyNumberFormat="1" applyFont="1" applyFill="1" applyBorder="1" applyAlignment="1" applyProtection="1">
      <alignment horizontal="center" vertical="center" wrapText="1"/>
      <protection locked="0"/>
    </xf>
    <xf numFmtId="49" fontId="111" fillId="13" borderId="27" xfId="0" applyNumberFormat="1" applyFont="1" applyFill="1" applyBorder="1" applyAlignment="1" applyProtection="1">
      <alignment horizontal="center" vertical="center" wrapText="1"/>
      <protection locked="0"/>
    </xf>
    <xf numFmtId="49" fontId="111" fillId="13" borderId="239" xfId="0" applyNumberFormat="1" applyFont="1" applyFill="1" applyBorder="1" applyAlignment="1" applyProtection="1">
      <alignment horizontal="center" vertical="center" wrapText="1"/>
      <protection locked="0"/>
    </xf>
    <xf numFmtId="0" fontId="2" fillId="10" borderId="21" xfId="0" applyFont="1" applyFill="1" applyBorder="1" applyAlignment="1" applyProtection="1">
      <alignment horizontal="center" vertical="center"/>
      <protection locked="0"/>
    </xf>
    <xf numFmtId="0" fontId="2" fillId="10" borderId="19" xfId="0" applyFont="1" applyFill="1" applyBorder="1" applyAlignment="1" applyProtection="1">
      <alignment horizontal="center" vertical="center"/>
      <protection locked="0"/>
    </xf>
    <xf numFmtId="0" fontId="171" fillId="0" borderId="24" xfId="0" applyFont="1" applyFill="1" applyBorder="1" applyAlignment="1" applyProtection="1">
      <alignment horizontal="center" vertical="top" wrapText="1"/>
      <protection hidden="1"/>
    </xf>
    <xf numFmtId="0" fontId="2" fillId="10" borderId="27" xfId="0" applyFont="1" applyFill="1" applyBorder="1" applyAlignment="1" applyProtection="1">
      <alignment horizontal="center" vertical="center"/>
      <protection locked="0"/>
    </xf>
    <xf numFmtId="0" fontId="2" fillId="10" borderId="25" xfId="0" applyFont="1" applyFill="1" applyBorder="1" applyAlignment="1" applyProtection="1">
      <alignment horizontal="center" vertical="center"/>
      <protection locked="0"/>
    </xf>
    <xf numFmtId="0" fontId="13" fillId="0" borderId="148" xfId="0" applyFont="1" applyFill="1" applyBorder="1" applyAlignment="1" applyProtection="1">
      <alignment horizontal="left" vertical="center" indent="4"/>
      <protection hidden="1"/>
    </xf>
    <xf numFmtId="0" fontId="13" fillId="0" borderId="49" xfId="0" applyFont="1" applyFill="1" applyBorder="1" applyAlignment="1" applyProtection="1">
      <alignment horizontal="left" vertical="center" indent="4"/>
      <protection hidden="1"/>
    </xf>
    <xf numFmtId="0" fontId="13" fillId="0" borderId="47" xfId="0" applyFont="1" applyFill="1" applyBorder="1" applyAlignment="1" applyProtection="1">
      <alignment horizontal="left" vertical="center" indent="4"/>
      <protection hidden="1"/>
    </xf>
    <xf numFmtId="0" fontId="13" fillId="0" borderId="24" xfId="0" applyFont="1" applyFill="1" applyBorder="1" applyAlignment="1" applyProtection="1">
      <alignment horizontal="left" vertical="center" indent="4"/>
      <protection hidden="1"/>
    </xf>
    <xf numFmtId="0" fontId="10" fillId="0" borderId="160" xfId="0" applyFont="1" applyFill="1" applyBorder="1" applyAlignment="1" applyProtection="1">
      <alignment horizontal="right" vertical="center" wrapText="1"/>
      <protection hidden="1"/>
    </xf>
    <xf numFmtId="0" fontId="10" fillId="0" borderId="50" xfId="0" applyFont="1" applyFill="1" applyBorder="1" applyAlignment="1" applyProtection="1">
      <alignment horizontal="right" vertical="center" wrapText="1"/>
      <protection hidden="1"/>
    </xf>
    <xf numFmtId="0" fontId="10" fillId="0" borderId="25" xfId="0" applyFont="1" applyFill="1" applyBorder="1" applyAlignment="1" applyProtection="1">
      <alignment horizontal="right" vertical="center" wrapText="1"/>
      <protection hidden="1"/>
    </xf>
    <xf numFmtId="0" fontId="16" fillId="0" borderId="262" xfId="0" applyFont="1" applyFill="1" applyBorder="1" applyAlignment="1" applyProtection="1">
      <alignment horizontal="right" vertical="center"/>
      <protection hidden="1"/>
    </xf>
    <xf numFmtId="0" fontId="2" fillId="10" borderId="153" xfId="0" applyFont="1" applyFill="1" applyBorder="1" applyAlignment="1" applyProtection="1">
      <alignment horizontal="center" vertical="center"/>
      <protection locked="0"/>
    </xf>
    <xf numFmtId="0" fontId="2" fillId="10" borderId="160" xfId="0" applyFont="1" applyFill="1" applyBorder="1" applyAlignment="1" applyProtection="1">
      <alignment horizontal="center" vertical="center"/>
      <protection locked="0"/>
    </xf>
    <xf numFmtId="0" fontId="2" fillId="10" borderId="52" xfId="0" applyFont="1" applyFill="1" applyBorder="1" applyAlignment="1" applyProtection="1">
      <alignment horizontal="center" vertical="center"/>
      <protection locked="0"/>
    </xf>
    <xf numFmtId="0" fontId="2" fillId="10" borderId="50" xfId="0" applyFont="1" applyFill="1" applyBorder="1" applyAlignment="1" applyProtection="1">
      <alignment horizontal="center" vertical="center"/>
      <protection locked="0"/>
    </xf>
    <xf numFmtId="0" fontId="13" fillId="0" borderId="95" xfId="0" applyFont="1" applyFill="1" applyBorder="1" applyAlignment="1" applyProtection="1">
      <alignment horizontal="center" vertical="center" textRotation="90" wrapText="1"/>
      <protection hidden="1"/>
    </xf>
    <xf numFmtId="0" fontId="13" fillId="0" borderId="136" xfId="0" applyFont="1" applyFill="1" applyBorder="1" applyAlignment="1" applyProtection="1">
      <alignment horizontal="center" vertical="center" textRotation="90" wrapText="1"/>
      <protection hidden="1"/>
    </xf>
    <xf numFmtId="0" fontId="13" fillId="0" borderId="63" xfId="0" applyFont="1" applyFill="1" applyBorder="1" applyAlignment="1" applyProtection="1">
      <alignment horizontal="center" vertical="center" textRotation="90" wrapText="1"/>
      <protection hidden="1"/>
    </xf>
    <xf numFmtId="0" fontId="13" fillId="0" borderId="0" xfId="0" applyFont="1" applyFill="1" applyBorder="1" applyAlignment="1" applyProtection="1">
      <alignment horizontal="left" vertical="center" indent="2"/>
      <protection hidden="1"/>
    </xf>
    <xf numFmtId="0" fontId="13" fillId="0" borderId="24" xfId="0" applyFont="1" applyFill="1" applyBorder="1" applyAlignment="1" applyProtection="1">
      <alignment horizontal="left" vertical="center" indent="2"/>
      <protection hidden="1"/>
    </xf>
    <xf numFmtId="0" fontId="13" fillId="0" borderId="17" xfId="0" applyFont="1" applyFill="1" applyBorder="1" applyAlignment="1" applyProtection="1">
      <alignment horizontal="left" vertical="center" wrapText="1" indent="2"/>
      <protection hidden="1"/>
    </xf>
    <xf numFmtId="0" fontId="10" fillId="0" borderId="15" xfId="0" applyFont="1" applyFill="1" applyBorder="1" applyAlignment="1" applyProtection="1">
      <alignment horizontal="right" vertical="center" wrapText="1"/>
      <protection hidden="1"/>
    </xf>
    <xf numFmtId="0" fontId="10" fillId="0" borderId="29" xfId="0" applyFont="1" applyFill="1" applyBorder="1" applyAlignment="1" applyProtection="1">
      <alignment horizontal="right" vertical="center" wrapText="1"/>
      <protection hidden="1"/>
    </xf>
    <xf numFmtId="0" fontId="72" fillId="0" borderId="15" xfId="0" applyFont="1" applyFill="1" applyBorder="1" applyAlignment="1" applyProtection="1">
      <alignment horizontal="center" vertical="center" wrapText="1"/>
      <protection hidden="1"/>
    </xf>
    <xf numFmtId="0" fontId="72" fillId="0" borderId="17" xfId="0" applyFont="1" applyFill="1" applyBorder="1" applyAlignment="1" applyProtection="1">
      <alignment horizontal="center" vertical="center" wrapText="1"/>
      <protection hidden="1"/>
    </xf>
    <xf numFmtId="0" fontId="72" fillId="0" borderId="254" xfId="0" applyFont="1" applyFill="1" applyBorder="1" applyAlignment="1" applyProtection="1">
      <alignment horizontal="center" vertical="center" wrapText="1"/>
      <protection hidden="1"/>
    </xf>
    <xf numFmtId="174" fontId="13" fillId="10" borderId="15" xfId="0" applyNumberFormat="1" applyFont="1" applyFill="1" applyBorder="1" applyAlignment="1" applyProtection="1">
      <alignment horizontal="center" vertical="center"/>
      <protection locked="0"/>
    </xf>
    <xf numFmtId="174" fontId="13" fillId="10" borderId="29" xfId="0" applyNumberFormat="1" applyFont="1" applyFill="1" applyBorder="1" applyAlignment="1" applyProtection="1">
      <alignment horizontal="center" vertical="center"/>
      <protection locked="0"/>
    </xf>
    <xf numFmtId="0" fontId="20" fillId="0" borderId="17" xfId="0" applyFont="1" applyFill="1" applyBorder="1" applyAlignment="1" applyProtection="1">
      <alignment horizontal="left" vertical="center" wrapText="1" indent="2"/>
      <protection hidden="1"/>
    </xf>
    <xf numFmtId="0" fontId="20" fillId="0" borderId="29" xfId="0" applyFont="1" applyFill="1" applyBorder="1" applyAlignment="1" applyProtection="1">
      <alignment horizontal="left" vertical="center" wrapText="1" indent="2"/>
      <protection hidden="1"/>
    </xf>
    <xf numFmtId="49" fontId="171" fillId="13" borderId="15" xfId="0" applyNumberFormat="1" applyFont="1" applyFill="1" applyBorder="1" applyAlignment="1" applyProtection="1">
      <alignment horizontal="left" vertical="center" wrapText="1"/>
      <protection locked="0"/>
    </xf>
    <xf numFmtId="49" fontId="171" fillId="13" borderId="17" xfId="0" applyNumberFormat="1" applyFont="1" applyFill="1" applyBorder="1" applyAlignment="1" applyProtection="1">
      <alignment horizontal="left" vertical="center" wrapText="1"/>
      <protection locked="0"/>
    </xf>
    <xf numFmtId="49" fontId="171" fillId="13" borderId="40" xfId="0" applyNumberFormat="1" applyFont="1" applyFill="1" applyBorder="1" applyAlignment="1" applyProtection="1">
      <alignment horizontal="left" vertical="center" wrapText="1"/>
      <protection locked="0"/>
    </xf>
    <xf numFmtId="0" fontId="47" fillId="5" borderId="148" xfId="0" applyFont="1" applyFill="1" applyBorder="1" applyAlignment="1" applyProtection="1">
      <alignment horizontal="right" vertical="center" wrapText="1"/>
      <protection locked="0"/>
    </xf>
    <xf numFmtId="0" fontId="47" fillId="5" borderId="49" xfId="0" applyFont="1" applyFill="1" applyBorder="1" applyAlignment="1" applyProtection="1">
      <alignment horizontal="right" vertical="center" wrapText="1"/>
      <protection locked="0"/>
    </xf>
    <xf numFmtId="0" fontId="47" fillId="5" borderId="47" xfId="0" applyFont="1" applyFill="1" applyBorder="1" applyAlignment="1" applyProtection="1">
      <alignment horizontal="right" vertical="center" wrapText="1"/>
      <protection locked="0"/>
    </xf>
    <xf numFmtId="0" fontId="47" fillId="5" borderId="24" xfId="0" applyFont="1" applyFill="1" applyBorder="1" applyAlignment="1" applyProtection="1">
      <alignment horizontal="right" vertical="center" wrapText="1"/>
      <protection locked="0"/>
    </xf>
    <xf numFmtId="0" fontId="111" fillId="0" borderId="0" xfId="0" applyFont="1" applyFill="1" applyBorder="1" applyAlignment="1" applyProtection="1">
      <alignment horizontal="right" vertical="center"/>
      <protection hidden="1"/>
    </xf>
    <xf numFmtId="0" fontId="20" fillId="0" borderId="148" xfId="0" applyFont="1" applyFill="1" applyBorder="1" applyAlignment="1" applyProtection="1">
      <alignment horizontal="left" vertical="center" wrapText="1" indent="4"/>
      <protection hidden="1"/>
    </xf>
    <xf numFmtId="0" fontId="20" fillId="0" borderId="49" xfId="0" applyFont="1" applyFill="1" applyBorder="1" applyAlignment="1" applyProtection="1">
      <alignment horizontal="left" vertical="center" wrapText="1" indent="4"/>
      <protection hidden="1"/>
    </xf>
    <xf numFmtId="0" fontId="20" fillId="0" borderId="47" xfId="0" applyFont="1" applyFill="1" applyBorder="1" applyAlignment="1" applyProtection="1">
      <alignment horizontal="left" vertical="center" wrapText="1" indent="4"/>
      <protection hidden="1"/>
    </xf>
    <xf numFmtId="0" fontId="20" fillId="0" borderId="24" xfId="0" applyFont="1" applyFill="1" applyBorder="1" applyAlignment="1" applyProtection="1">
      <alignment horizontal="left" vertical="center" wrapText="1" indent="4"/>
      <protection hidden="1"/>
    </xf>
    <xf numFmtId="0" fontId="17" fillId="0" borderId="160" xfId="0" applyFont="1" applyFill="1" applyBorder="1" applyAlignment="1" applyProtection="1">
      <alignment horizontal="right" vertical="center" wrapText="1"/>
      <protection hidden="1"/>
    </xf>
    <xf numFmtId="0" fontId="17" fillId="0" borderId="25" xfId="0" applyFont="1" applyFill="1" applyBorder="1" applyAlignment="1" applyProtection="1">
      <alignment horizontal="right" vertical="center" wrapText="1"/>
      <protection hidden="1"/>
    </xf>
    <xf numFmtId="0" fontId="3" fillId="0" borderId="261" xfId="0" applyFont="1" applyFill="1" applyBorder="1" applyAlignment="1" applyProtection="1">
      <alignment horizontal="right" vertical="center"/>
      <protection hidden="1"/>
    </xf>
    <xf numFmtId="0" fontId="3" fillId="0" borderId="249" xfId="0" applyFont="1" applyFill="1" applyBorder="1" applyAlignment="1" applyProtection="1">
      <alignment horizontal="right" vertical="center"/>
      <protection hidden="1"/>
    </xf>
    <xf numFmtId="0" fontId="125" fillId="19" borderId="49" xfId="0" applyFont="1" applyFill="1" applyBorder="1" applyAlignment="1" applyProtection="1">
      <alignment horizontal="center" vertical="center" wrapText="1"/>
      <protection hidden="1"/>
    </xf>
    <xf numFmtId="0" fontId="125" fillId="19" borderId="24" xfId="0" applyFont="1" applyFill="1" applyBorder="1" applyAlignment="1" applyProtection="1">
      <alignment horizontal="center" vertical="center" wrapText="1"/>
      <protection hidden="1"/>
    </xf>
    <xf numFmtId="0" fontId="172" fillId="19" borderId="49" xfId="0" applyFont="1" applyFill="1" applyBorder="1" applyAlignment="1" applyProtection="1">
      <alignment horizontal="right" vertical="center"/>
      <protection hidden="1"/>
    </xf>
    <xf numFmtId="0" fontId="172" fillId="19" borderId="24" xfId="0" applyFont="1" applyFill="1" applyBorder="1" applyAlignment="1" applyProtection="1">
      <alignment horizontal="right" vertical="center"/>
      <protection hidden="1"/>
    </xf>
    <xf numFmtId="0" fontId="172" fillId="19" borderId="102" xfId="0" applyFont="1" applyFill="1" applyBorder="1" applyAlignment="1" applyProtection="1">
      <alignment horizontal="left" vertical="center" wrapText="1"/>
      <protection hidden="1"/>
    </xf>
    <xf numFmtId="0" fontId="172" fillId="19" borderId="22" xfId="0" applyFont="1" applyFill="1" applyBorder="1" applyAlignment="1" applyProtection="1">
      <alignment horizontal="left" vertical="center" wrapText="1"/>
      <protection hidden="1"/>
    </xf>
    <xf numFmtId="0" fontId="172" fillId="19" borderId="102" xfId="0" applyFont="1" applyFill="1" applyBorder="1" applyAlignment="1" applyProtection="1">
      <alignment horizontal="left" vertical="center"/>
      <protection hidden="1"/>
    </xf>
    <xf numFmtId="0" fontId="172" fillId="19" borderId="22" xfId="0" applyFont="1" applyFill="1" applyBorder="1" applyAlignment="1" applyProtection="1">
      <alignment horizontal="left" vertical="center"/>
      <protection hidden="1"/>
    </xf>
    <xf numFmtId="0" fontId="13" fillId="0" borderId="153" xfId="0" applyFont="1" applyFill="1" applyBorder="1" applyAlignment="1" applyProtection="1">
      <alignment horizontal="left" vertical="center" indent="2"/>
      <protection hidden="1"/>
    </xf>
    <xf numFmtId="0" fontId="13" fillId="0" borderId="49" xfId="0" applyFont="1" applyFill="1" applyBorder="1" applyAlignment="1" applyProtection="1">
      <alignment horizontal="left" vertical="center" indent="2"/>
      <protection hidden="1"/>
    </xf>
    <xf numFmtId="0" fontId="13" fillId="0" borderId="27" xfId="0" applyFont="1" applyFill="1" applyBorder="1" applyAlignment="1" applyProtection="1">
      <alignment horizontal="left" vertical="center" indent="2"/>
      <protection hidden="1"/>
    </xf>
    <xf numFmtId="0" fontId="10" fillId="0" borderId="160" xfId="0" applyFont="1" applyFill="1" applyBorder="1" applyAlignment="1" applyProtection="1">
      <alignment horizontal="right" vertical="center"/>
      <protection hidden="1"/>
    </xf>
    <xf numFmtId="0" fontId="10" fillId="0" borderId="25" xfId="0" applyFont="1" applyFill="1" applyBorder="1" applyAlignment="1" applyProtection="1">
      <alignment horizontal="right" vertical="center"/>
      <protection hidden="1"/>
    </xf>
    <xf numFmtId="0" fontId="20" fillId="0" borderId="153" xfId="0" applyFont="1" applyFill="1" applyBorder="1" applyAlignment="1" applyProtection="1">
      <alignment horizontal="right" vertical="center" wrapText="1"/>
      <protection hidden="1"/>
    </xf>
    <xf numFmtId="0" fontId="20" fillId="0" borderId="160" xfId="0" applyFont="1" applyFill="1" applyBorder="1" applyAlignment="1" applyProtection="1">
      <alignment horizontal="right" vertical="center" wrapText="1"/>
      <protection hidden="1"/>
    </xf>
    <xf numFmtId="0" fontId="20" fillId="0" borderId="27" xfId="0" applyFont="1" applyFill="1" applyBorder="1" applyAlignment="1" applyProtection="1">
      <alignment horizontal="right" vertical="center" wrapText="1"/>
      <protection hidden="1"/>
    </xf>
    <xf numFmtId="0" fontId="20" fillId="0" borderId="25" xfId="0" applyFont="1" applyFill="1" applyBorder="1" applyAlignment="1" applyProtection="1">
      <alignment horizontal="right" vertical="center" wrapText="1"/>
      <protection hidden="1"/>
    </xf>
    <xf numFmtId="0" fontId="111" fillId="13" borderId="49" xfId="0" applyFont="1" applyFill="1" applyBorder="1" applyAlignment="1" applyProtection="1">
      <alignment horizontal="center" vertical="center" wrapText="1"/>
      <protection locked="0"/>
    </xf>
    <xf numFmtId="0" fontId="111" fillId="13" borderId="244" xfId="0" applyFont="1" applyFill="1" applyBorder="1" applyAlignment="1" applyProtection="1">
      <alignment horizontal="center" vertical="center" wrapText="1"/>
      <protection locked="0"/>
    </xf>
    <xf numFmtId="0" fontId="111" fillId="13" borderId="24" xfId="0" applyFont="1" applyFill="1" applyBorder="1" applyAlignment="1" applyProtection="1">
      <alignment horizontal="center" vertical="center" wrapText="1"/>
      <protection locked="0"/>
    </xf>
    <xf numFmtId="0" fontId="111" fillId="13" borderId="239" xfId="0" applyFont="1" applyFill="1" applyBorder="1" applyAlignment="1" applyProtection="1">
      <alignment horizontal="center" vertical="center" wrapText="1"/>
      <protection locked="0"/>
    </xf>
    <xf numFmtId="0" fontId="16" fillId="0" borderId="160" xfId="0" applyFont="1" applyFill="1" applyBorder="1" applyAlignment="1" applyProtection="1">
      <alignment horizontal="right" vertical="center"/>
      <protection hidden="1"/>
    </xf>
    <xf numFmtId="0" fontId="16" fillId="0" borderId="25" xfId="0" applyFont="1" applyFill="1" applyBorder="1" applyAlignment="1" applyProtection="1">
      <alignment horizontal="right" vertical="center"/>
      <protection hidden="1"/>
    </xf>
    <xf numFmtId="0" fontId="172" fillId="19" borderId="28" xfId="0" applyFont="1" applyFill="1" applyBorder="1" applyAlignment="1" applyProtection="1">
      <alignment horizontal="left" vertical="center"/>
      <protection hidden="1"/>
    </xf>
    <xf numFmtId="0" fontId="125" fillId="19" borderId="0" xfId="0" applyFont="1" applyFill="1" applyBorder="1" applyAlignment="1" applyProtection="1">
      <alignment horizontal="center" vertical="center" wrapText="1"/>
      <protection hidden="1"/>
    </xf>
    <xf numFmtId="0" fontId="10" fillId="0" borderId="70" xfId="0" applyFont="1" applyFill="1" applyBorder="1" applyAlignment="1" applyProtection="1">
      <alignment horizontal="left" vertical="center" wrapText="1"/>
      <protection hidden="1"/>
    </xf>
    <xf numFmtId="0" fontId="10" fillId="0" borderId="135" xfId="0" applyFont="1" applyFill="1" applyBorder="1" applyAlignment="1" applyProtection="1">
      <alignment horizontal="left" vertical="center" wrapText="1"/>
      <protection hidden="1"/>
    </xf>
    <xf numFmtId="0" fontId="10" fillId="0" borderId="27" xfId="0" applyFont="1" applyFill="1" applyBorder="1" applyAlignment="1" applyProtection="1">
      <alignment horizontal="left" vertical="center" wrapText="1"/>
      <protection hidden="1"/>
    </xf>
    <xf numFmtId="0" fontId="10" fillId="0" borderId="25" xfId="0" applyFont="1" applyFill="1" applyBorder="1" applyAlignment="1" applyProtection="1">
      <alignment horizontal="left" vertical="center" wrapText="1"/>
      <protection hidden="1"/>
    </xf>
    <xf numFmtId="0" fontId="13" fillId="0" borderId="153" xfId="0" applyFont="1" applyFill="1" applyBorder="1" applyAlignment="1" applyProtection="1">
      <alignment horizontal="left" vertical="center" wrapText="1" indent="2"/>
      <protection hidden="1"/>
    </xf>
    <xf numFmtId="0" fontId="13" fillId="0" borderId="49" xfId="0" applyFont="1" applyFill="1" applyBorder="1" applyAlignment="1" applyProtection="1">
      <alignment horizontal="left" vertical="center" wrapText="1" indent="2"/>
      <protection hidden="1"/>
    </xf>
    <xf numFmtId="0" fontId="13" fillId="0" borderId="27" xfId="0" applyFont="1" applyFill="1" applyBorder="1" applyAlignment="1" applyProtection="1">
      <alignment horizontal="left" vertical="center" wrapText="1" indent="2"/>
      <protection hidden="1"/>
    </xf>
    <xf numFmtId="0" fontId="13" fillId="0" borderId="24" xfId="0" applyFont="1" applyFill="1" applyBorder="1" applyAlignment="1" applyProtection="1">
      <alignment horizontal="left" vertical="center" wrapText="1" indent="2"/>
      <protection hidden="1"/>
    </xf>
    <xf numFmtId="0" fontId="13" fillId="0" borderId="148" xfId="0" applyFont="1" applyFill="1" applyBorder="1" applyAlignment="1" applyProtection="1">
      <alignment horizontal="center" vertical="center" wrapText="1"/>
      <protection hidden="1"/>
    </xf>
    <xf numFmtId="0" fontId="13" fillId="0" borderId="160" xfId="0" applyFont="1" applyFill="1" applyBorder="1" applyAlignment="1" applyProtection="1">
      <alignment horizontal="center" vertical="center" wrapText="1"/>
      <protection hidden="1"/>
    </xf>
    <xf numFmtId="0" fontId="13" fillId="0" borderId="58" xfId="0" applyFont="1" applyFill="1" applyBorder="1" applyAlignment="1" applyProtection="1">
      <alignment horizontal="center" vertical="center" wrapText="1"/>
      <protection hidden="1"/>
    </xf>
    <xf numFmtId="0" fontId="13" fillId="0" borderId="50" xfId="0" applyFont="1" applyFill="1" applyBorder="1" applyAlignment="1" applyProtection="1">
      <alignment horizontal="center" vertical="center" wrapText="1"/>
      <protection hidden="1"/>
    </xf>
    <xf numFmtId="0" fontId="13" fillId="0" borderId="47" xfId="0" applyFont="1" applyFill="1" applyBorder="1" applyAlignment="1" applyProtection="1">
      <alignment horizontal="center" vertical="center" wrapText="1"/>
      <protection hidden="1"/>
    </xf>
    <xf numFmtId="0" fontId="13" fillId="0" borderId="25" xfId="0" applyFont="1" applyFill="1" applyBorder="1" applyAlignment="1" applyProtection="1">
      <alignment horizontal="center" vertical="center" wrapText="1"/>
      <protection hidden="1"/>
    </xf>
    <xf numFmtId="0" fontId="16" fillId="0" borderId="50" xfId="0" applyFont="1" applyFill="1" applyBorder="1" applyAlignment="1" applyProtection="1">
      <alignment horizontal="right" vertical="center"/>
      <protection hidden="1"/>
    </xf>
    <xf numFmtId="0" fontId="111" fillId="19" borderId="0" xfId="0" applyFont="1" applyFill="1" applyBorder="1" applyAlignment="1" applyProtection="1">
      <alignment horizontal="left" vertical="center"/>
      <protection hidden="1"/>
    </xf>
    <xf numFmtId="0" fontId="111" fillId="19" borderId="28" xfId="0" applyFont="1" applyFill="1" applyBorder="1" applyAlignment="1" applyProtection="1">
      <alignment horizontal="left" vertical="center"/>
      <protection hidden="1"/>
    </xf>
    <xf numFmtId="0" fontId="10" fillId="0" borderId="70" xfId="0" applyFont="1" applyFill="1" applyBorder="1" applyAlignment="1" applyProtection="1">
      <alignment horizontal="left" vertical="center" indent="1"/>
      <protection hidden="1"/>
    </xf>
    <xf numFmtId="0" fontId="10" fillId="0" borderId="125" xfId="0" applyFont="1" applyFill="1" applyBorder="1" applyAlignment="1" applyProtection="1">
      <alignment horizontal="left" vertical="center" indent="1"/>
      <protection hidden="1"/>
    </xf>
    <xf numFmtId="0" fontId="10" fillId="0" borderId="27" xfId="0" applyFont="1" applyFill="1" applyBorder="1" applyAlignment="1" applyProtection="1">
      <alignment horizontal="left" vertical="center" indent="1"/>
      <protection hidden="1"/>
    </xf>
    <xf numFmtId="0" fontId="10" fillId="0" borderId="24" xfId="0" applyFont="1" applyFill="1" applyBorder="1" applyAlignment="1" applyProtection="1">
      <alignment horizontal="left" vertical="center" indent="1"/>
      <protection hidden="1"/>
    </xf>
    <xf numFmtId="0" fontId="10" fillId="0" borderId="135" xfId="0" applyFont="1" applyFill="1" applyBorder="1" applyAlignment="1" applyProtection="1">
      <alignment horizontal="right" vertical="center"/>
      <protection hidden="1"/>
    </xf>
    <xf numFmtId="0" fontId="20" fillId="0" borderId="95" xfId="0" applyFont="1" applyFill="1" applyBorder="1" applyAlignment="1" applyProtection="1">
      <alignment horizontal="center" vertical="center" textRotation="90" wrapText="1"/>
      <protection hidden="1"/>
    </xf>
    <xf numFmtId="0" fontId="20" fillId="0" borderId="136" xfId="0" applyFont="1" applyFill="1" applyBorder="1" applyAlignment="1" applyProtection="1">
      <alignment horizontal="center" vertical="center" textRotation="90" wrapText="1"/>
      <protection hidden="1"/>
    </xf>
    <xf numFmtId="0" fontId="20" fillId="0" borderId="63" xfId="0" applyFont="1" applyFill="1" applyBorder="1" applyAlignment="1" applyProtection="1">
      <alignment horizontal="center" vertical="center" textRotation="90" wrapText="1"/>
      <protection hidden="1"/>
    </xf>
    <xf numFmtId="0" fontId="13" fillId="0" borderId="152" xfId="0" applyFont="1" applyFill="1" applyBorder="1" applyAlignment="1" applyProtection="1">
      <alignment horizontal="center" vertical="center" wrapText="1"/>
      <protection hidden="1"/>
    </xf>
    <xf numFmtId="0" fontId="13" fillId="0" borderId="51" xfId="0" applyFont="1" applyFill="1" applyBorder="1" applyAlignment="1" applyProtection="1">
      <alignment horizontal="center" vertical="center" wrapText="1"/>
      <protection hidden="1"/>
    </xf>
    <xf numFmtId="0" fontId="13" fillId="0" borderId="26" xfId="0" applyFont="1" applyFill="1" applyBorder="1" applyAlignment="1" applyProtection="1">
      <alignment horizontal="center" vertical="center" wrapText="1"/>
      <protection hidden="1"/>
    </xf>
    <xf numFmtId="0" fontId="10" fillId="0" borderId="153" xfId="0" applyFont="1" applyFill="1" applyBorder="1" applyAlignment="1" applyProtection="1">
      <alignment horizontal="left" vertical="center" wrapText="1" indent="1"/>
      <protection hidden="1"/>
    </xf>
    <xf numFmtId="0" fontId="10" fillId="0" borderId="49" xfId="0" applyFont="1" applyFill="1" applyBorder="1" applyAlignment="1" applyProtection="1">
      <alignment horizontal="left" vertical="center" wrapText="1" indent="1"/>
      <protection hidden="1"/>
    </xf>
    <xf numFmtId="0" fontId="10" fillId="0" borderId="14" xfId="0" applyFont="1" applyFill="1" applyBorder="1" applyAlignment="1" applyProtection="1">
      <alignment horizontal="left" vertical="center" wrapText="1" indent="1"/>
      <protection hidden="1"/>
    </xf>
    <xf numFmtId="0" fontId="10" fillId="0" borderId="16" xfId="0" applyFont="1" applyFill="1" applyBorder="1" applyAlignment="1" applyProtection="1">
      <alignment horizontal="left" vertical="center" wrapText="1" indent="1"/>
      <protection hidden="1"/>
    </xf>
    <xf numFmtId="0" fontId="10" fillId="0" borderId="6" xfId="0" applyFont="1" applyFill="1" applyBorder="1" applyAlignment="1" applyProtection="1">
      <alignment horizontal="right" vertical="center" wrapText="1"/>
      <protection hidden="1"/>
    </xf>
    <xf numFmtId="0" fontId="16" fillId="0" borderId="6" xfId="0" applyFont="1" applyFill="1" applyBorder="1" applyAlignment="1" applyProtection="1">
      <alignment horizontal="right" vertical="center"/>
      <protection hidden="1"/>
    </xf>
    <xf numFmtId="0" fontId="2" fillId="10" borderId="14" xfId="0" applyFont="1" applyFill="1" applyBorder="1" applyAlignment="1" applyProtection="1">
      <alignment horizontal="center" vertical="center"/>
      <protection locked="0"/>
    </xf>
    <xf numFmtId="0" fontId="2" fillId="10" borderId="6" xfId="0" applyFont="1" applyFill="1" applyBorder="1" applyAlignment="1" applyProtection="1">
      <alignment horizontal="center" vertical="center"/>
      <protection locked="0"/>
    </xf>
    <xf numFmtId="0" fontId="10" fillId="0" borderId="153" xfId="0" applyFont="1" applyFill="1" applyBorder="1" applyAlignment="1" applyProtection="1">
      <alignment horizontal="left" vertical="center"/>
      <protection hidden="1"/>
    </xf>
    <xf numFmtId="0" fontId="10" fillId="0" borderId="49" xfId="0" applyFont="1" applyFill="1" applyBorder="1" applyAlignment="1" applyProtection="1">
      <alignment horizontal="left" vertical="center"/>
      <protection hidden="1"/>
    </xf>
    <xf numFmtId="0" fontId="10" fillId="0" borderId="160" xfId="0" applyFont="1" applyFill="1" applyBorder="1" applyAlignment="1" applyProtection="1">
      <alignment horizontal="left" vertical="center"/>
      <protection hidden="1"/>
    </xf>
    <xf numFmtId="0" fontId="10" fillId="0" borderId="14" xfId="0" applyFont="1" applyFill="1" applyBorder="1" applyAlignment="1" applyProtection="1">
      <alignment horizontal="left" vertical="center"/>
      <protection hidden="1"/>
    </xf>
    <xf numFmtId="0" fontId="10" fillId="0" borderId="16" xfId="0" applyFont="1" applyFill="1" applyBorder="1" applyAlignment="1" applyProtection="1">
      <alignment horizontal="left" vertical="center"/>
      <protection hidden="1"/>
    </xf>
    <xf numFmtId="0" fontId="10" fillId="0" borderId="6" xfId="0" applyFont="1" applyFill="1" applyBorder="1" applyAlignment="1" applyProtection="1">
      <alignment horizontal="left" vertical="center"/>
      <protection hidden="1"/>
    </xf>
    <xf numFmtId="0" fontId="172" fillId="19" borderId="0" xfId="0" applyFont="1" applyFill="1" applyBorder="1" applyAlignment="1" applyProtection="1">
      <alignment horizontal="right" vertical="center"/>
      <protection hidden="1"/>
    </xf>
    <xf numFmtId="0" fontId="158" fillId="0" borderId="153" xfId="0" applyFont="1" applyFill="1" applyBorder="1" applyAlignment="1" applyProtection="1">
      <alignment horizontal="center" vertical="center" wrapText="1"/>
      <protection hidden="1"/>
    </xf>
    <xf numFmtId="0" fontId="158" fillId="0" borderId="49" xfId="0" applyFont="1" applyFill="1" applyBorder="1" applyAlignment="1" applyProtection="1">
      <alignment horizontal="center" vertical="center" wrapText="1"/>
      <protection hidden="1"/>
    </xf>
    <xf numFmtId="0" fontId="158" fillId="0" borderId="244" xfId="0" applyFont="1" applyFill="1" applyBorder="1" applyAlignment="1" applyProtection="1">
      <alignment horizontal="center" vertical="center" wrapText="1"/>
      <protection hidden="1"/>
    </xf>
    <xf numFmtId="0" fontId="158" fillId="0" borderId="27" xfId="0" applyFont="1" applyFill="1" applyBorder="1" applyAlignment="1" applyProtection="1">
      <alignment horizontal="center" vertical="center" wrapText="1"/>
      <protection hidden="1"/>
    </xf>
    <xf numFmtId="0" fontId="158" fillId="0" borderId="24" xfId="0" applyFont="1" applyFill="1" applyBorder="1" applyAlignment="1" applyProtection="1">
      <alignment horizontal="center" vertical="center" wrapText="1"/>
      <protection hidden="1"/>
    </xf>
    <xf numFmtId="0" fontId="158" fillId="0" borderId="239" xfId="0" applyFont="1" applyFill="1" applyBorder="1" applyAlignment="1" applyProtection="1">
      <alignment horizontal="center" vertical="center" wrapText="1"/>
      <protection hidden="1"/>
    </xf>
    <xf numFmtId="171" fontId="176" fillId="19" borderId="102" xfId="0" applyNumberFormat="1" applyFont="1" applyFill="1" applyBorder="1" applyAlignment="1" applyProtection="1">
      <alignment horizontal="left" vertical="center"/>
      <protection hidden="1"/>
    </xf>
    <xf numFmtId="171" fontId="176" fillId="19" borderId="22" xfId="0" applyNumberFormat="1" applyFont="1" applyFill="1" applyBorder="1" applyAlignment="1" applyProtection="1">
      <alignment horizontal="left" vertical="center"/>
      <protection hidden="1"/>
    </xf>
    <xf numFmtId="0" fontId="10" fillId="0" borderId="153" xfId="0" applyFont="1" applyFill="1" applyBorder="1" applyAlignment="1" applyProtection="1">
      <alignment horizontal="center" vertical="center" wrapText="1"/>
      <protection hidden="1"/>
    </xf>
    <xf numFmtId="0" fontId="10" fillId="0" borderId="160" xfId="0" applyFont="1" applyFill="1" applyBorder="1" applyAlignment="1" applyProtection="1">
      <alignment horizontal="center" vertical="center" wrapText="1"/>
      <protection hidden="1"/>
    </xf>
    <xf numFmtId="0" fontId="10" fillId="0" borderId="27" xfId="0" applyFont="1" applyFill="1" applyBorder="1" applyAlignment="1" applyProtection="1">
      <alignment horizontal="center" vertical="center" wrapText="1"/>
      <protection hidden="1"/>
    </xf>
    <xf numFmtId="0" fontId="10" fillId="0" borderId="25" xfId="0" applyFont="1" applyFill="1" applyBorder="1" applyAlignment="1" applyProtection="1">
      <alignment horizontal="center" vertical="center" wrapText="1"/>
      <protection hidden="1"/>
    </xf>
    <xf numFmtId="49" fontId="111" fillId="10" borderId="153" xfId="0" applyNumberFormat="1" applyFont="1" applyFill="1" applyBorder="1" applyAlignment="1" applyProtection="1">
      <alignment horizontal="center" vertical="center" wrapText="1"/>
      <protection locked="0"/>
    </xf>
    <xf numFmtId="49" fontId="111" fillId="10" borderId="244" xfId="0" applyNumberFormat="1" applyFont="1" applyFill="1" applyBorder="1" applyAlignment="1" applyProtection="1">
      <alignment horizontal="center" vertical="center" wrapText="1"/>
      <protection locked="0"/>
    </xf>
    <xf numFmtId="49" fontId="111" fillId="10" borderId="27" xfId="0" applyNumberFormat="1" applyFont="1" applyFill="1" applyBorder="1" applyAlignment="1" applyProtection="1">
      <alignment horizontal="center" vertical="center" wrapText="1"/>
      <protection locked="0"/>
    </xf>
    <xf numFmtId="49" fontId="111" fillId="10" borderId="239" xfId="0" applyNumberFormat="1" applyFont="1" applyFill="1" applyBorder="1" applyAlignment="1" applyProtection="1">
      <alignment horizontal="center" vertical="center" wrapText="1"/>
      <protection locked="0"/>
    </xf>
    <xf numFmtId="0" fontId="13" fillId="7" borderId="0" xfId="0" applyFont="1" applyFill="1" applyBorder="1" applyAlignment="1" applyProtection="1">
      <alignment horizontal="center" vertical="center"/>
      <protection hidden="1"/>
    </xf>
    <xf numFmtId="0" fontId="13" fillId="7" borderId="24" xfId="0" applyFont="1" applyFill="1" applyBorder="1" applyAlignment="1" applyProtection="1">
      <alignment horizontal="center" vertical="center"/>
      <protection hidden="1"/>
    </xf>
    <xf numFmtId="0" fontId="13" fillId="0" borderId="148" xfId="0" applyFont="1" applyFill="1" applyBorder="1" applyAlignment="1" applyProtection="1">
      <alignment horizontal="center" wrapText="1"/>
      <protection hidden="1"/>
    </xf>
    <xf numFmtId="0" fontId="13" fillId="0" borderId="160" xfId="0" applyFont="1" applyFill="1" applyBorder="1" applyAlignment="1" applyProtection="1">
      <alignment horizontal="center" wrapText="1"/>
      <protection hidden="1"/>
    </xf>
    <xf numFmtId="0" fontId="13" fillId="0" borderId="58" xfId="0" applyFont="1" applyFill="1" applyBorder="1" applyAlignment="1" applyProtection="1">
      <alignment horizontal="center" wrapText="1"/>
      <protection hidden="1"/>
    </xf>
    <xf numFmtId="0" fontId="13" fillId="0" borderId="50" xfId="0" applyFont="1" applyFill="1" applyBorder="1" applyAlignment="1" applyProtection="1">
      <alignment horizontal="center" wrapText="1"/>
      <protection hidden="1"/>
    </xf>
    <xf numFmtId="0" fontId="10" fillId="0" borderId="153" xfId="0" applyFont="1" applyFill="1" applyBorder="1" applyAlignment="1" applyProtection="1">
      <alignment horizontal="left" vertical="center" indent="1"/>
      <protection hidden="1"/>
    </xf>
    <xf numFmtId="0" fontId="10" fillId="0" borderId="49" xfId="0" applyFont="1" applyFill="1" applyBorder="1" applyAlignment="1" applyProtection="1">
      <alignment horizontal="left" vertical="center" indent="1"/>
      <protection hidden="1"/>
    </xf>
    <xf numFmtId="0" fontId="10" fillId="0" borderId="160" xfId="0" applyFont="1" applyFill="1" applyBorder="1" applyAlignment="1" applyProtection="1">
      <alignment horizontal="left" vertical="center" indent="1"/>
      <protection hidden="1"/>
    </xf>
    <xf numFmtId="0" fontId="10" fillId="0" borderId="25" xfId="0" applyFont="1" applyFill="1" applyBorder="1" applyAlignment="1" applyProtection="1">
      <alignment horizontal="left" vertical="center" indent="1"/>
      <protection hidden="1"/>
    </xf>
    <xf numFmtId="0" fontId="176" fillId="0" borderId="58" xfId="0" applyFont="1" applyFill="1" applyBorder="1" applyAlignment="1" applyProtection="1">
      <alignment horizontal="center" vertical="center" wrapText="1"/>
      <protection hidden="1"/>
    </xf>
    <xf numFmtId="0" fontId="176" fillId="0" borderId="50" xfId="0" applyFont="1" applyFill="1" applyBorder="1" applyAlignment="1" applyProtection="1">
      <alignment horizontal="center" vertical="center" wrapText="1"/>
      <protection hidden="1"/>
    </xf>
    <xf numFmtId="0" fontId="176" fillId="0" borderId="47" xfId="0" applyFont="1" applyFill="1" applyBorder="1" applyAlignment="1" applyProtection="1">
      <alignment horizontal="center" vertical="center" wrapText="1"/>
      <protection hidden="1"/>
    </xf>
    <xf numFmtId="0" fontId="176" fillId="0" borderId="25" xfId="0" applyFont="1" applyFill="1" applyBorder="1" applyAlignment="1" applyProtection="1">
      <alignment horizontal="center" vertical="center" wrapText="1"/>
      <protection hidden="1"/>
    </xf>
    <xf numFmtId="1" fontId="176" fillId="19" borderId="102" xfId="0" applyNumberFormat="1" applyFont="1" applyFill="1" applyBorder="1" applyAlignment="1" applyProtection="1">
      <alignment horizontal="left" vertical="center"/>
      <protection hidden="1"/>
    </xf>
    <xf numFmtId="1" fontId="176" fillId="19" borderId="22" xfId="0" applyNumberFormat="1" applyFont="1" applyFill="1" applyBorder="1" applyAlignment="1" applyProtection="1">
      <alignment horizontal="left" vertical="center"/>
      <protection hidden="1"/>
    </xf>
    <xf numFmtId="0" fontId="10" fillId="0" borderId="27" xfId="0" applyFont="1" applyFill="1" applyBorder="1" applyAlignment="1" applyProtection="1">
      <alignment horizontal="left" vertical="center" wrapText="1" indent="1"/>
      <protection hidden="1"/>
    </xf>
    <xf numFmtId="0" fontId="10" fillId="0" borderId="24" xfId="0" applyFont="1" applyFill="1" applyBorder="1" applyAlignment="1" applyProtection="1">
      <alignment horizontal="left" vertical="center" wrapText="1" indent="1"/>
      <protection hidden="1"/>
    </xf>
    <xf numFmtId="172" fontId="176" fillId="19" borderId="102" xfId="0" applyNumberFormat="1" applyFont="1" applyFill="1" applyBorder="1" applyAlignment="1" applyProtection="1">
      <alignment horizontal="left" vertical="center"/>
      <protection hidden="1"/>
    </xf>
    <xf numFmtId="172" fontId="176" fillId="19" borderId="22" xfId="0" applyNumberFormat="1" applyFont="1" applyFill="1" applyBorder="1" applyAlignment="1" applyProtection="1">
      <alignment horizontal="left" vertical="center"/>
      <protection hidden="1"/>
    </xf>
    <xf numFmtId="173" fontId="176" fillId="19" borderId="102" xfId="0" applyNumberFormat="1" applyFont="1" applyFill="1" applyBorder="1" applyAlignment="1" applyProtection="1">
      <alignment horizontal="left" vertical="center"/>
      <protection hidden="1"/>
    </xf>
    <xf numFmtId="173" fontId="176" fillId="19" borderId="22" xfId="0" applyNumberFormat="1" applyFont="1" applyFill="1" applyBorder="1" applyAlignment="1" applyProtection="1">
      <alignment horizontal="left" vertical="center"/>
      <protection hidden="1"/>
    </xf>
    <xf numFmtId="0" fontId="172" fillId="0" borderId="27" xfId="0" applyFont="1" applyFill="1" applyBorder="1" applyAlignment="1" applyProtection="1">
      <alignment horizontal="center" vertical="center" wrapText="1"/>
      <protection hidden="1"/>
    </xf>
    <xf numFmtId="0" fontId="172" fillId="0" borderId="24" xfId="0" applyFont="1" applyFill="1" applyBorder="1" applyAlignment="1" applyProtection="1">
      <alignment horizontal="center" vertical="center" wrapText="1"/>
      <protection hidden="1"/>
    </xf>
    <xf numFmtId="0" fontId="165" fillId="19" borderId="125" xfId="0" applyFont="1" applyFill="1" applyBorder="1" applyAlignment="1" applyProtection="1">
      <alignment horizontal="left" vertical="center" wrapText="1"/>
      <protection hidden="1"/>
    </xf>
    <xf numFmtId="0" fontId="165" fillId="19" borderId="162" xfId="0" applyFont="1" applyFill="1" applyBorder="1" applyAlignment="1" applyProtection="1">
      <alignment horizontal="left" vertical="center" wrapText="1"/>
      <protection hidden="1"/>
    </xf>
    <xf numFmtId="0" fontId="165" fillId="19" borderId="24" xfId="0" applyFont="1" applyFill="1" applyBorder="1" applyAlignment="1" applyProtection="1">
      <alignment horizontal="left" vertical="center" wrapText="1"/>
      <protection hidden="1"/>
    </xf>
    <xf numFmtId="0" fontId="165" fillId="19" borderId="28" xfId="0" applyFont="1" applyFill="1" applyBorder="1" applyAlignment="1" applyProtection="1">
      <alignment horizontal="left" vertical="center" wrapText="1"/>
      <protection hidden="1"/>
    </xf>
    <xf numFmtId="0" fontId="10" fillId="0" borderId="49" xfId="0" applyFont="1" applyFill="1" applyBorder="1" applyAlignment="1" applyProtection="1">
      <alignment horizontal="center" vertical="center" wrapText="1"/>
      <protection hidden="1"/>
    </xf>
    <xf numFmtId="0" fontId="10" fillId="0" borderId="24" xfId="0" applyFont="1" applyFill="1" applyBorder="1" applyAlignment="1" applyProtection="1">
      <alignment horizontal="center" vertical="center" wrapText="1"/>
      <protection hidden="1"/>
    </xf>
    <xf numFmtId="0" fontId="74" fillId="0" borderId="25" xfId="0" applyFont="1" applyFill="1" applyBorder="1" applyAlignment="1" applyProtection="1">
      <alignment horizontal="right" vertical="center"/>
      <protection hidden="1"/>
    </xf>
    <xf numFmtId="169" fontId="172" fillId="19" borderId="102" xfId="0" applyNumberFormat="1" applyFont="1" applyFill="1" applyBorder="1" applyAlignment="1" applyProtection="1">
      <alignment horizontal="left" vertical="center"/>
      <protection hidden="1"/>
    </xf>
    <xf numFmtId="169" fontId="172" fillId="19" borderId="22" xfId="0" applyNumberFormat="1" applyFont="1" applyFill="1" applyBorder="1" applyAlignment="1" applyProtection="1">
      <alignment horizontal="left" vertical="center"/>
      <protection hidden="1"/>
    </xf>
    <xf numFmtId="0" fontId="151" fillId="18" borderId="0" xfId="0" applyFont="1" applyFill="1" applyBorder="1" applyAlignment="1" applyProtection="1">
      <alignment horizontal="center" vertical="center"/>
      <protection hidden="1"/>
    </xf>
    <xf numFmtId="0" fontId="151" fillId="18" borderId="24" xfId="0" applyFont="1" applyFill="1" applyBorder="1" applyAlignment="1" applyProtection="1">
      <alignment horizontal="center" vertical="center"/>
      <protection hidden="1"/>
    </xf>
    <xf numFmtId="0" fontId="28" fillId="6" borderId="148" xfId="0" applyFont="1" applyFill="1" applyBorder="1" applyAlignment="1" applyProtection="1">
      <alignment horizontal="center" vertical="center" wrapText="1"/>
      <protection hidden="1"/>
    </xf>
    <xf numFmtId="0" fontId="28" fillId="6" borderId="49" xfId="0" applyFont="1" applyFill="1" applyBorder="1" applyAlignment="1" applyProtection="1">
      <alignment horizontal="center" vertical="center" wrapText="1"/>
      <protection hidden="1"/>
    </xf>
    <xf numFmtId="0" fontId="28" fillId="6" borderId="102" xfId="0" applyFont="1" applyFill="1" applyBorder="1" applyAlignment="1" applyProtection="1">
      <alignment horizontal="center" vertical="center" wrapText="1"/>
      <protection hidden="1"/>
    </xf>
    <xf numFmtId="0" fontId="28" fillId="6" borderId="58" xfId="0" applyFont="1" applyFill="1" applyBorder="1" applyAlignment="1" applyProtection="1">
      <alignment horizontal="center" vertical="center" wrapText="1"/>
      <protection hidden="1"/>
    </xf>
    <xf numFmtId="0" fontId="28" fillId="6" borderId="0" xfId="0" applyFont="1" applyFill="1" applyBorder="1" applyAlignment="1" applyProtection="1">
      <alignment horizontal="center" vertical="center" wrapText="1"/>
      <protection hidden="1"/>
    </xf>
    <xf numFmtId="0" fontId="28" fillId="6" borderId="28" xfId="0" applyFont="1" applyFill="1" applyBorder="1" applyAlignment="1" applyProtection="1">
      <alignment horizontal="center" vertical="center" wrapText="1"/>
      <protection hidden="1"/>
    </xf>
    <xf numFmtId="0" fontId="28" fillId="6" borderId="47" xfId="0" applyFont="1" applyFill="1" applyBorder="1" applyAlignment="1" applyProtection="1">
      <alignment horizontal="center" vertical="center" wrapText="1"/>
      <protection hidden="1"/>
    </xf>
    <xf numFmtId="0" fontId="28" fillId="6" borderId="24" xfId="0" applyFont="1" applyFill="1" applyBorder="1" applyAlignment="1" applyProtection="1">
      <alignment horizontal="center" vertical="center" wrapText="1"/>
      <protection hidden="1"/>
    </xf>
    <xf numFmtId="0" fontId="28" fillId="6" borderId="22" xfId="0" applyFont="1" applyFill="1" applyBorder="1" applyAlignment="1" applyProtection="1">
      <alignment horizontal="center" vertical="center" wrapText="1"/>
      <protection hidden="1"/>
    </xf>
    <xf numFmtId="49" fontId="193" fillId="12" borderId="17" xfId="0" applyNumberFormat="1" applyFont="1" applyFill="1" applyBorder="1" applyAlignment="1" applyProtection="1">
      <alignment horizontal="left" vertical="center"/>
      <protection locked="0"/>
    </xf>
    <xf numFmtId="49" fontId="194" fillId="12" borderId="17" xfId="0" applyNumberFormat="1" applyFont="1" applyFill="1" applyBorder="1" applyAlignment="1" applyProtection="1">
      <alignment horizontal="left" vertical="center" wrapText="1"/>
      <protection locked="0"/>
    </xf>
    <xf numFmtId="49" fontId="88" fillId="12" borderId="17" xfId="0" applyNumberFormat="1" applyFont="1" applyFill="1" applyBorder="1" applyAlignment="1" applyProtection="1">
      <alignment horizontal="left" vertical="center"/>
      <protection locked="0"/>
    </xf>
    <xf numFmtId="0" fontId="167" fillId="0" borderId="0" xfId="0" applyFont="1" applyFill="1" applyBorder="1" applyAlignment="1" applyProtection="1">
      <alignment horizontal="center" vertical="center"/>
      <protection hidden="1"/>
    </xf>
    <xf numFmtId="0" fontId="98" fillId="14" borderId="49" xfId="0" applyFont="1" applyFill="1" applyBorder="1" applyAlignment="1" applyProtection="1">
      <alignment horizontal="center" vertical="center"/>
      <protection hidden="1"/>
    </xf>
    <xf numFmtId="0" fontId="98" fillId="14" borderId="244" xfId="0" applyFont="1" applyFill="1" applyBorder="1" applyAlignment="1" applyProtection="1">
      <alignment horizontal="center" vertical="center"/>
      <protection hidden="1"/>
    </xf>
    <xf numFmtId="0" fontId="98" fillId="14" borderId="24" xfId="0" applyFont="1" applyFill="1" applyBorder="1" applyAlignment="1" applyProtection="1">
      <alignment horizontal="center" vertical="center"/>
      <protection hidden="1"/>
    </xf>
    <xf numFmtId="0" fontId="98" fillId="14" borderId="239" xfId="0" applyFont="1" applyFill="1" applyBorder="1" applyAlignment="1" applyProtection="1">
      <alignment horizontal="center" vertical="center"/>
      <protection hidden="1"/>
    </xf>
    <xf numFmtId="0" fontId="47" fillId="14" borderId="247" xfId="0" applyFont="1" applyFill="1" applyBorder="1" applyAlignment="1" applyProtection="1">
      <alignment horizontal="center"/>
      <protection hidden="1"/>
    </xf>
    <xf numFmtId="0" fontId="47" fillId="14" borderId="49" xfId="0" applyFont="1" applyFill="1" applyBorder="1" applyAlignment="1" applyProtection="1">
      <alignment horizontal="center"/>
      <protection hidden="1"/>
    </xf>
    <xf numFmtId="0" fontId="47" fillId="14" borderId="266" xfId="0" applyFont="1" applyFill="1" applyBorder="1" applyAlignment="1" applyProtection="1">
      <alignment horizontal="center"/>
      <protection hidden="1"/>
    </xf>
    <xf numFmtId="0" fontId="47" fillId="14" borderId="0" xfId="0" applyFont="1" applyFill="1" applyBorder="1" applyAlignment="1" applyProtection="1">
      <alignment horizontal="center"/>
      <protection hidden="1"/>
    </xf>
    <xf numFmtId="0" fontId="136" fillId="0" borderId="0" xfId="0" applyFont="1" applyFill="1" applyAlignment="1" applyProtection="1">
      <alignment vertical="center" wrapText="1"/>
      <protection hidden="1"/>
    </xf>
    <xf numFmtId="0" fontId="20" fillId="0" borderId="148" xfId="0" applyFont="1" applyFill="1" applyBorder="1" applyAlignment="1" applyProtection="1">
      <alignment horizontal="center" vertical="center" wrapText="1"/>
      <protection hidden="1"/>
    </xf>
    <xf numFmtId="0" fontId="20" fillId="0" borderId="49" xfId="0" applyFont="1" applyFill="1" applyBorder="1" applyAlignment="1" applyProtection="1">
      <alignment horizontal="center" vertical="center" wrapText="1"/>
      <protection hidden="1"/>
    </xf>
    <xf numFmtId="0" fontId="20" fillId="0" borderId="47" xfId="0" applyFont="1" applyFill="1" applyBorder="1" applyAlignment="1" applyProtection="1">
      <alignment horizontal="center" vertical="center" wrapText="1"/>
      <protection hidden="1"/>
    </xf>
    <xf numFmtId="0" fontId="20" fillId="0" borderId="24" xfId="0" applyFont="1" applyFill="1" applyBorder="1" applyAlignment="1" applyProtection="1">
      <alignment horizontal="center" vertical="center" wrapText="1"/>
      <protection hidden="1"/>
    </xf>
    <xf numFmtId="0" fontId="17" fillId="0" borderId="153" xfId="0" applyFont="1" applyFill="1" applyBorder="1" applyAlignment="1" applyProtection="1">
      <alignment horizontal="right" vertical="center" wrapText="1" indent="1"/>
      <protection hidden="1"/>
    </xf>
    <xf numFmtId="0" fontId="17" fillId="0" borderId="49" xfId="0" applyFont="1" applyFill="1" applyBorder="1" applyAlignment="1" applyProtection="1">
      <alignment horizontal="right" vertical="center" wrapText="1" indent="1"/>
      <protection hidden="1"/>
    </xf>
    <xf numFmtId="0" fontId="17" fillId="0" borderId="160" xfId="0" applyFont="1" applyFill="1" applyBorder="1" applyAlignment="1" applyProtection="1">
      <alignment horizontal="right" vertical="center" wrapText="1" indent="1"/>
      <protection hidden="1"/>
    </xf>
    <xf numFmtId="0" fontId="15" fillId="5" borderId="247" xfId="0" applyFont="1" applyFill="1" applyBorder="1" applyAlignment="1" applyProtection="1">
      <alignment horizontal="center" vertical="center" wrapText="1"/>
      <protection hidden="1"/>
    </xf>
    <xf numFmtId="0" fontId="15" fillId="5" borderId="49" xfId="0" applyFont="1" applyFill="1" applyBorder="1" applyAlignment="1" applyProtection="1">
      <alignment horizontal="center" vertical="center" wrapText="1"/>
      <protection hidden="1"/>
    </xf>
    <xf numFmtId="0" fontId="15" fillId="5" borderId="244" xfId="0" applyFont="1" applyFill="1" applyBorder="1" applyAlignment="1" applyProtection="1">
      <alignment horizontal="center" vertical="center" wrapText="1"/>
      <protection hidden="1"/>
    </xf>
    <xf numFmtId="0" fontId="15" fillId="5" borderId="257" xfId="0" applyFont="1" applyFill="1" applyBorder="1" applyAlignment="1" applyProtection="1">
      <alignment horizontal="center" vertical="center" wrapText="1"/>
      <protection hidden="1"/>
    </xf>
    <xf numFmtId="0" fontId="15" fillId="5" borderId="16" xfId="0" applyFont="1" applyFill="1" applyBorder="1" applyAlignment="1" applyProtection="1">
      <alignment horizontal="center" vertical="center" wrapText="1"/>
      <protection hidden="1"/>
    </xf>
    <xf numFmtId="0" fontId="15" fillId="5" borderId="240" xfId="0" applyFont="1" applyFill="1" applyBorder="1" applyAlignment="1" applyProtection="1">
      <alignment horizontal="center" vertical="center" wrapText="1"/>
      <protection hidden="1"/>
    </xf>
    <xf numFmtId="0" fontId="15" fillId="14" borderId="266" xfId="0" applyFont="1" applyFill="1" applyBorder="1" applyAlignment="1" applyProtection="1">
      <alignment horizontal="center" vertical="center"/>
      <protection hidden="1"/>
    </xf>
    <xf numFmtId="0" fontId="15" fillId="14" borderId="0" xfId="0" applyFont="1" applyFill="1" applyBorder="1" applyAlignment="1" applyProtection="1">
      <alignment horizontal="center" vertical="center"/>
      <protection hidden="1"/>
    </xf>
    <xf numFmtId="0" fontId="15" fillId="14" borderId="50" xfId="0" applyFont="1" applyFill="1" applyBorder="1" applyAlignment="1" applyProtection="1">
      <alignment horizontal="center" vertical="center"/>
      <protection hidden="1"/>
    </xf>
    <xf numFmtId="0" fontId="150" fillId="14" borderId="0" xfId="0" applyFont="1" applyFill="1" applyBorder="1" applyAlignment="1" applyProtection="1">
      <alignment horizontal="center" vertical="center" wrapText="1"/>
      <protection hidden="1"/>
    </xf>
    <xf numFmtId="0" fontId="150" fillId="14" borderId="28" xfId="0" applyFont="1" applyFill="1" applyBorder="1" applyAlignment="1" applyProtection="1">
      <alignment horizontal="center" vertical="center" wrapText="1"/>
      <protection hidden="1"/>
    </xf>
    <xf numFmtId="0" fontId="150" fillId="14" borderId="24" xfId="0" applyFont="1" applyFill="1" applyBorder="1" applyAlignment="1" applyProtection="1">
      <alignment horizontal="center" vertical="center" wrapText="1"/>
      <protection hidden="1"/>
    </xf>
    <xf numFmtId="0" fontId="150" fillId="14" borderId="22" xfId="0" applyFont="1" applyFill="1" applyBorder="1" applyAlignment="1" applyProtection="1">
      <alignment horizontal="center" vertical="center" wrapText="1"/>
      <protection hidden="1"/>
    </xf>
    <xf numFmtId="0" fontId="15" fillId="14" borderId="250" xfId="0" applyFont="1" applyFill="1" applyBorder="1" applyAlignment="1" applyProtection="1">
      <alignment horizontal="center" vertical="center"/>
      <protection hidden="1"/>
    </xf>
    <xf numFmtId="0" fontId="15" fillId="14" borderId="24" xfId="0" applyFont="1" applyFill="1" applyBorder="1" applyAlignment="1" applyProtection="1">
      <alignment horizontal="center" vertical="center"/>
      <protection hidden="1"/>
    </xf>
    <xf numFmtId="0" fontId="15" fillId="14" borderId="25" xfId="0" applyFont="1" applyFill="1" applyBorder="1" applyAlignment="1" applyProtection="1">
      <alignment horizontal="center" vertical="center"/>
      <protection hidden="1"/>
    </xf>
    <xf numFmtId="0" fontId="150" fillId="0" borderId="0" xfId="0" applyFont="1" applyFill="1" applyBorder="1" applyAlignment="1" applyProtection="1">
      <alignment horizontal="left" textRotation="90"/>
      <protection hidden="1"/>
    </xf>
    <xf numFmtId="0" fontId="20" fillId="0" borderId="160" xfId="0" applyFont="1" applyFill="1" applyBorder="1" applyAlignment="1" applyProtection="1">
      <alignment horizontal="center" vertical="center" wrapText="1"/>
      <protection hidden="1"/>
    </xf>
    <xf numFmtId="0" fontId="20" fillId="0" borderId="58" xfId="0" applyFont="1" applyFill="1" applyBorder="1" applyAlignment="1" applyProtection="1">
      <alignment horizontal="center" vertical="center" wrapText="1"/>
      <protection hidden="1"/>
    </xf>
    <xf numFmtId="0" fontId="20" fillId="0" borderId="50" xfId="0" applyFont="1" applyFill="1" applyBorder="1" applyAlignment="1" applyProtection="1">
      <alignment horizontal="center" vertical="center" wrapText="1"/>
      <protection hidden="1"/>
    </xf>
    <xf numFmtId="0" fontId="20" fillId="0" borderId="25" xfId="0" applyFont="1" applyFill="1" applyBorder="1" applyAlignment="1" applyProtection="1">
      <alignment horizontal="center" vertical="center" wrapText="1"/>
      <protection hidden="1"/>
    </xf>
    <xf numFmtId="0" fontId="10" fillId="0" borderId="21" xfId="0" applyFont="1" applyFill="1" applyBorder="1" applyAlignment="1" applyProtection="1">
      <alignment horizontal="left" vertical="center" wrapText="1" indent="2"/>
      <protection hidden="1"/>
    </xf>
    <xf numFmtId="0" fontId="10" fillId="0" borderId="3" xfId="0" applyFont="1" applyFill="1" applyBorder="1" applyAlignment="1" applyProtection="1">
      <alignment horizontal="left" vertical="center" wrapText="1" indent="2"/>
      <protection hidden="1"/>
    </xf>
    <xf numFmtId="0" fontId="10" fillId="0" borderId="19" xfId="0" applyFont="1" applyFill="1" applyBorder="1" applyAlignment="1" applyProtection="1">
      <alignment horizontal="left" vertical="center" wrapText="1" indent="2"/>
      <protection hidden="1"/>
    </xf>
    <xf numFmtId="0" fontId="180" fillId="19" borderId="270" xfId="0" applyFont="1" applyFill="1" applyBorder="1" applyAlignment="1" applyProtection="1">
      <alignment horizontal="center" vertical="center"/>
      <protection hidden="1"/>
    </xf>
    <xf numFmtId="0" fontId="180" fillId="19" borderId="3" xfId="0" applyFont="1" applyFill="1" applyBorder="1" applyAlignment="1" applyProtection="1">
      <alignment horizontal="center" vertical="center"/>
      <protection hidden="1"/>
    </xf>
    <xf numFmtId="0" fontId="180" fillId="19" borderId="19" xfId="0" applyFont="1" applyFill="1" applyBorder="1" applyAlignment="1" applyProtection="1">
      <alignment horizontal="center" vertical="center"/>
      <protection hidden="1"/>
    </xf>
    <xf numFmtId="0" fontId="175" fillId="19" borderId="16" xfId="0" applyFont="1" applyFill="1" applyBorder="1" applyAlignment="1" applyProtection="1">
      <alignment horizontal="center" vertical="center" wrapText="1"/>
      <protection hidden="1"/>
    </xf>
    <xf numFmtId="0" fontId="175" fillId="19" borderId="18" xfId="0" applyFont="1" applyFill="1" applyBorder="1" applyAlignment="1" applyProtection="1">
      <alignment horizontal="center" vertical="center" wrapText="1"/>
      <protection hidden="1"/>
    </xf>
    <xf numFmtId="0" fontId="10" fillId="0" borderId="27" xfId="0" applyFont="1" applyFill="1" applyBorder="1" applyAlignment="1" applyProtection="1">
      <alignment horizontal="left" vertical="center" wrapText="1" indent="2"/>
      <protection hidden="1"/>
    </xf>
    <xf numFmtId="0" fontId="10" fillId="0" borderId="24" xfId="0" applyFont="1" applyFill="1" applyBorder="1" applyAlignment="1" applyProtection="1">
      <alignment horizontal="left" vertical="center" wrapText="1" indent="2"/>
      <protection hidden="1"/>
    </xf>
    <xf numFmtId="0" fontId="10" fillId="0" borderId="25" xfId="0" applyFont="1" applyFill="1" applyBorder="1" applyAlignment="1" applyProtection="1">
      <alignment horizontal="left" vertical="center" wrapText="1" indent="2"/>
      <protection hidden="1"/>
    </xf>
    <xf numFmtId="0" fontId="10" fillId="0" borderId="153" xfId="0" applyFont="1" applyFill="1" applyBorder="1" applyAlignment="1" applyProtection="1">
      <alignment horizontal="left" vertical="center" indent="2"/>
      <protection hidden="1"/>
    </xf>
    <xf numFmtId="0" fontId="10" fillId="0" borderId="49" xfId="0" applyFont="1" applyFill="1" applyBorder="1" applyAlignment="1" applyProtection="1">
      <alignment horizontal="left" vertical="center" indent="2"/>
      <protection hidden="1"/>
    </xf>
    <xf numFmtId="0" fontId="10" fillId="0" borderId="160" xfId="0" applyFont="1" applyFill="1" applyBorder="1" applyAlignment="1" applyProtection="1">
      <alignment horizontal="left" vertical="center" indent="2"/>
      <protection hidden="1"/>
    </xf>
    <xf numFmtId="0" fontId="10" fillId="0" borderId="27" xfId="0" applyFont="1" applyFill="1" applyBorder="1" applyAlignment="1" applyProtection="1">
      <alignment horizontal="left" vertical="center" indent="2"/>
      <protection hidden="1"/>
    </xf>
    <xf numFmtId="0" fontId="10" fillId="0" borderId="24" xfId="0" applyFont="1" applyFill="1" applyBorder="1" applyAlignment="1" applyProtection="1">
      <alignment horizontal="left" vertical="center" indent="2"/>
      <protection hidden="1"/>
    </xf>
    <xf numFmtId="0" fontId="10" fillId="0" borderId="25" xfId="0" applyFont="1" applyFill="1" applyBorder="1" applyAlignment="1" applyProtection="1">
      <alignment horizontal="left" vertical="center" indent="2"/>
      <protection hidden="1"/>
    </xf>
    <xf numFmtId="0" fontId="144" fillId="0" borderId="248" xfId="0" applyFont="1" applyFill="1" applyBorder="1" applyAlignment="1" applyProtection="1">
      <alignment horizontal="right" vertical="center" wrapText="1"/>
      <protection hidden="1"/>
    </xf>
    <xf numFmtId="0" fontId="144" fillId="0" borderId="249" xfId="0" applyFont="1" applyFill="1" applyBorder="1" applyAlignment="1" applyProtection="1">
      <alignment horizontal="right" vertical="center" wrapText="1"/>
      <protection hidden="1"/>
    </xf>
    <xf numFmtId="0" fontId="2" fillId="12" borderId="70" xfId="0" applyFont="1" applyFill="1" applyBorder="1" applyAlignment="1" applyProtection="1">
      <alignment horizontal="center" vertical="center"/>
      <protection locked="0"/>
    </xf>
    <xf numFmtId="0" fontId="2" fillId="12" borderId="135" xfId="0" applyFont="1" applyFill="1" applyBorder="1" applyAlignment="1" applyProtection="1">
      <alignment horizontal="center" vertical="center"/>
      <protection locked="0"/>
    </xf>
    <xf numFmtId="0" fontId="2" fillId="12" borderId="27" xfId="0" applyFont="1" applyFill="1" applyBorder="1" applyAlignment="1" applyProtection="1">
      <alignment horizontal="center" vertical="center"/>
      <protection locked="0"/>
    </xf>
    <xf numFmtId="0" fontId="2" fillId="12" borderId="25" xfId="0" applyFont="1" applyFill="1" applyBorder="1" applyAlignment="1" applyProtection="1">
      <alignment horizontal="center" vertical="center"/>
      <protection locked="0"/>
    </xf>
    <xf numFmtId="0" fontId="125" fillId="19" borderId="125" xfId="0" applyFont="1" applyFill="1" applyBorder="1" applyAlignment="1" applyProtection="1">
      <alignment horizontal="center" vertical="center" wrapText="1"/>
      <protection hidden="1"/>
    </xf>
    <xf numFmtId="0" fontId="17" fillId="0" borderId="6" xfId="0" applyFont="1" applyFill="1" applyBorder="1" applyAlignment="1" applyProtection="1">
      <alignment horizontal="right" vertical="center" wrapText="1"/>
      <protection hidden="1"/>
    </xf>
    <xf numFmtId="0" fontId="10" fillId="5" borderId="252" xfId="0" applyFont="1" applyFill="1" applyBorder="1" applyAlignment="1" applyProtection="1">
      <alignment vertical="center" wrapText="1"/>
      <protection hidden="1"/>
    </xf>
    <xf numFmtId="0" fontId="10" fillId="5" borderId="253" xfId="0" applyFont="1" applyFill="1" applyBorder="1" applyAlignment="1" applyProtection="1">
      <alignment vertical="center" wrapText="1"/>
      <protection hidden="1"/>
    </xf>
    <xf numFmtId="0" fontId="10" fillId="5" borderId="47" xfId="0" applyFont="1" applyFill="1" applyBorder="1" applyAlignment="1" applyProtection="1">
      <alignment vertical="center" wrapText="1"/>
      <protection hidden="1"/>
    </xf>
    <xf numFmtId="0" fontId="10" fillId="5" borderId="22" xfId="0" applyFont="1" applyFill="1" applyBorder="1" applyAlignment="1" applyProtection="1">
      <alignment vertical="center" wrapText="1"/>
      <protection hidden="1"/>
    </xf>
    <xf numFmtId="0" fontId="72" fillId="0" borderId="21" xfId="0" applyFont="1" applyFill="1" applyBorder="1" applyAlignment="1" applyProtection="1">
      <alignment vertical="center" wrapText="1"/>
      <protection hidden="1"/>
    </xf>
    <xf numFmtId="0" fontId="72" fillId="0" borderId="3" xfId="0" applyFont="1" applyFill="1" applyBorder="1" applyAlignment="1" applyProtection="1">
      <alignment vertical="center" wrapText="1"/>
      <protection hidden="1"/>
    </xf>
    <xf numFmtId="0" fontId="72" fillId="0" borderId="38" xfId="0" applyFont="1" applyFill="1" applyBorder="1" applyAlignment="1" applyProtection="1">
      <alignment vertical="center" wrapText="1"/>
      <protection hidden="1"/>
    </xf>
    <xf numFmtId="0" fontId="65" fillId="0" borderId="41" xfId="0" applyFont="1" applyBorder="1" applyAlignment="1" applyProtection="1">
      <alignment vertical="center"/>
      <protection hidden="1"/>
    </xf>
    <xf numFmtId="0" fontId="65" fillId="0" borderId="74" xfId="0" applyFont="1" applyBorder="1" applyAlignment="1" applyProtection="1">
      <alignment vertical="center"/>
      <protection hidden="1"/>
    </xf>
    <xf numFmtId="0" fontId="65" fillId="0" borderId="142" xfId="0" applyFont="1" applyBorder="1" applyAlignment="1" applyProtection="1">
      <alignment vertical="center"/>
      <protection hidden="1"/>
    </xf>
    <xf numFmtId="0" fontId="72" fillId="0" borderId="70" xfId="0" applyFont="1" applyFill="1" applyBorder="1" applyAlignment="1" applyProtection="1">
      <alignment vertical="center" wrapText="1"/>
      <protection hidden="1"/>
    </xf>
    <xf numFmtId="0" fontId="72" fillId="0" borderId="125" xfId="0" applyFont="1" applyFill="1" applyBorder="1" applyAlignment="1" applyProtection="1">
      <alignment vertical="center" wrapText="1"/>
      <protection hidden="1"/>
    </xf>
    <xf numFmtId="0" fontId="72" fillId="0" borderId="132" xfId="0" applyFont="1" applyFill="1" applyBorder="1" applyAlignment="1" applyProtection="1">
      <alignment vertical="center" wrapText="1"/>
      <protection hidden="1"/>
    </xf>
    <xf numFmtId="0" fontId="72" fillId="0" borderId="14" xfId="0" applyFont="1" applyFill="1" applyBorder="1" applyAlignment="1" applyProtection="1">
      <alignment vertical="center" wrapText="1"/>
      <protection hidden="1"/>
    </xf>
    <xf numFmtId="0" fontId="72" fillId="0" borderId="16" xfId="0" applyFont="1" applyFill="1" applyBorder="1" applyAlignment="1" applyProtection="1">
      <alignment vertical="center" wrapText="1"/>
      <protection hidden="1"/>
    </xf>
    <xf numFmtId="0" fontId="72" fillId="0" borderId="32" xfId="0" applyFont="1" applyFill="1" applyBorder="1" applyAlignment="1" applyProtection="1">
      <alignment vertical="center" wrapText="1"/>
      <protection hidden="1"/>
    </xf>
    <xf numFmtId="0" fontId="10" fillId="0" borderId="82" xfId="0" applyFont="1" applyFill="1" applyBorder="1" applyAlignment="1" applyProtection="1">
      <alignment vertical="center" wrapText="1"/>
      <protection hidden="1"/>
    </xf>
    <xf numFmtId="0" fontId="10" fillId="0" borderId="7" xfId="0" applyFont="1" applyFill="1" applyBorder="1" applyAlignment="1" applyProtection="1">
      <alignment vertical="center" wrapText="1"/>
      <protection hidden="1"/>
    </xf>
    <xf numFmtId="0" fontId="10" fillId="0" borderId="9" xfId="0" applyFont="1" applyFill="1" applyBorder="1" applyAlignment="1" applyProtection="1">
      <alignment vertical="center" wrapText="1"/>
      <protection hidden="1"/>
    </xf>
    <xf numFmtId="0" fontId="10" fillId="0" borderId="104" xfId="0" applyFont="1" applyFill="1" applyBorder="1" applyAlignment="1" applyProtection="1">
      <alignment vertical="center" wrapText="1"/>
      <protection hidden="1"/>
    </xf>
    <xf numFmtId="0" fontId="30" fillId="5" borderId="148" xfId="0" applyFont="1" applyFill="1" applyBorder="1" applyAlignment="1" applyProtection="1">
      <alignment horizontal="center" vertical="center" wrapText="1"/>
      <protection hidden="1"/>
    </xf>
    <xf numFmtId="0" fontId="30" fillId="5" borderId="49" xfId="0" applyFont="1" applyFill="1" applyBorder="1" applyAlignment="1" applyProtection="1">
      <alignment horizontal="center" vertical="center" wrapText="1"/>
      <protection hidden="1"/>
    </xf>
    <xf numFmtId="0" fontId="30" fillId="5" borderId="47" xfId="0" applyFont="1" applyFill="1" applyBorder="1" applyAlignment="1" applyProtection="1">
      <alignment horizontal="center" vertical="center" wrapText="1"/>
      <protection hidden="1"/>
    </xf>
    <xf numFmtId="0" fontId="30" fillId="5" borderId="24" xfId="0" applyFont="1" applyFill="1" applyBorder="1" applyAlignment="1" applyProtection="1">
      <alignment horizontal="center" vertical="center" wrapText="1"/>
      <protection hidden="1"/>
    </xf>
    <xf numFmtId="0" fontId="6" fillId="0" borderId="191" xfId="0" applyNumberFormat="1" applyFont="1" applyBorder="1" applyAlignment="1" applyProtection="1">
      <alignment horizontal="center" vertical="center" wrapText="1"/>
      <protection hidden="1"/>
    </xf>
    <xf numFmtId="0" fontId="6" fillId="0" borderId="150" xfId="0" applyNumberFormat="1" applyFont="1" applyBorder="1" applyAlignment="1" applyProtection="1">
      <alignment horizontal="center" vertical="center" wrapText="1"/>
      <protection hidden="1"/>
    </xf>
    <xf numFmtId="0" fontId="6" fillId="0" borderId="61" xfId="0" applyNumberFormat="1" applyFont="1" applyBorder="1" applyAlignment="1" applyProtection="1">
      <alignment horizontal="center" vertical="center" wrapText="1"/>
      <protection hidden="1"/>
    </xf>
    <xf numFmtId="0" fontId="6" fillId="0" borderId="34" xfId="0" applyNumberFormat="1" applyFont="1" applyBorder="1" applyAlignment="1" applyProtection="1">
      <alignment horizontal="center" vertical="center" wrapText="1"/>
      <protection hidden="1"/>
    </xf>
    <xf numFmtId="0" fontId="10" fillId="5" borderId="8" xfId="0" applyFont="1" applyFill="1" applyBorder="1" applyAlignment="1" applyProtection="1">
      <alignment horizontal="center" vertical="center" wrapText="1"/>
      <protection hidden="1"/>
    </xf>
    <xf numFmtId="0" fontId="10" fillId="5" borderId="33" xfId="0" applyFont="1" applyFill="1" applyBorder="1" applyAlignment="1" applyProtection="1">
      <alignment horizontal="center" vertical="center" wrapText="1"/>
      <protection hidden="1"/>
    </xf>
    <xf numFmtId="0" fontId="6" fillId="0" borderId="10" xfId="0" applyFont="1" applyBorder="1" applyAlignment="1" applyProtection="1">
      <alignment horizontal="center" vertical="center" wrapText="1"/>
      <protection locked="0"/>
    </xf>
    <xf numFmtId="0" fontId="6" fillId="0" borderId="34" xfId="0" applyFont="1" applyBorder="1" applyAlignment="1" applyProtection="1">
      <alignment horizontal="center" vertical="center" wrapText="1"/>
      <protection locked="0"/>
    </xf>
    <xf numFmtId="0" fontId="3" fillId="0" borderId="120" xfId="0" applyFont="1" applyBorder="1" applyAlignment="1" applyProtection="1">
      <alignment horizontal="center" vertical="center"/>
      <protection hidden="1"/>
    </xf>
    <xf numFmtId="0" fontId="3" fillId="0" borderId="65" xfId="0" applyFont="1" applyBorder="1" applyAlignment="1" applyProtection="1">
      <alignment horizontal="center" vertical="center"/>
      <protection hidden="1"/>
    </xf>
    <xf numFmtId="0" fontId="70" fillId="0" borderId="64" xfId="0" applyFont="1" applyFill="1" applyBorder="1" applyAlignment="1" applyProtection="1">
      <alignment vertical="center" wrapText="1"/>
      <protection hidden="1"/>
    </xf>
    <xf numFmtId="0" fontId="70" fillId="0" borderId="76" xfId="0" applyFont="1" applyFill="1" applyBorder="1" applyAlignment="1" applyProtection="1">
      <alignment vertical="center" wrapText="1"/>
      <protection hidden="1"/>
    </xf>
    <xf numFmtId="0" fontId="6" fillId="0" borderId="121" xfId="0" applyFont="1" applyFill="1" applyBorder="1" applyAlignment="1" applyProtection="1">
      <alignment horizontal="center" vertical="center" wrapText="1"/>
      <protection locked="0"/>
    </xf>
    <xf numFmtId="0" fontId="6" fillId="0" borderId="31" xfId="0" applyFont="1" applyFill="1" applyBorder="1" applyAlignment="1" applyProtection="1">
      <alignment horizontal="center" vertical="center" wrapText="1"/>
      <protection locked="0"/>
    </xf>
    <xf numFmtId="0" fontId="2" fillId="3" borderId="188" xfId="0" applyFont="1" applyFill="1" applyBorder="1" applyAlignment="1" applyProtection="1">
      <alignment horizontal="center" wrapText="1"/>
      <protection hidden="1"/>
    </xf>
    <xf numFmtId="0" fontId="2" fillId="3" borderId="93" xfId="0" applyFont="1" applyFill="1" applyBorder="1" applyAlignment="1" applyProtection="1">
      <alignment horizontal="center" wrapText="1"/>
      <protection hidden="1"/>
    </xf>
    <xf numFmtId="0" fontId="2" fillId="3" borderId="187" xfId="0" applyFont="1" applyFill="1" applyBorder="1" applyAlignment="1" applyProtection="1">
      <alignment horizontal="center" vertical="center" wrapText="1"/>
      <protection hidden="1"/>
    </xf>
    <xf numFmtId="0" fontId="2" fillId="3" borderId="184" xfId="0" applyFont="1" applyFill="1" applyBorder="1" applyAlignment="1" applyProtection="1">
      <alignment horizontal="center" vertical="center" wrapText="1"/>
      <protection hidden="1"/>
    </xf>
    <xf numFmtId="0" fontId="84" fillId="0" borderId="10" xfId="0" applyNumberFormat="1" applyFont="1" applyBorder="1" applyAlignment="1" applyProtection="1">
      <alignment horizontal="center" vertical="center" wrapText="1"/>
      <protection locked="0"/>
    </xf>
    <xf numFmtId="0" fontId="84" fillId="0" borderId="34" xfId="0" applyNumberFormat="1" applyFont="1" applyBorder="1" applyAlignment="1" applyProtection="1">
      <alignment horizontal="center" vertical="center" wrapText="1"/>
      <protection locked="0"/>
    </xf>
    <xf numFmtId="0" fontId="2" fillId="5" borderId="199" xfId="0" applyFont="1" applyFill="1" applyBorder="1" applyAlignment="1" applyProtection="1">
      <alignment vertical="center" wrapText="1"/>
      <protection hidden="1"/>
    </xf>
    <xf numFmtId="0" fontId="2" fillId="5" borderId="200" xfId="0" applyFont="1" applyFill="1" applyBorder="1" applyAlignment="1" applyProtection="1">
      <alignment vertical="center" wrapText="1"/>
      <protection hidden="1"/>
    </xf>
    <xf numFmtId="0" fontId="42" fillId="4" borderId="61" xfId="0" applyNumberFormat="1" applyFont="1" applyFill="1" applyBorder="1" applyAlignment="1" applyProtection="1">
      <alignment horizontal="center" vertical="center" wrapText="1"/>
      <protection hidden="1"/>
    </xf>
    <xf numFmtId="0" fontId="42" fillId="4" borderId="13" xfId="0" applyNumberFormat="1" applyFont="1" applyFill="1" applyBorder="1" applyAlignment="1" applyProtection="1">
      <alignment horizontal="center" vertical="center" wrapText="1"/>
      <protection hidden="1"/>
    </xf>
    <xf numFmtId="0" fontId="23" fillId="0" borderId="49" xfId="0" applyFont="1" applyFill="1" applyBorder="1" applyAlignment="1" applyProtection="1">
      <alignment wrapText="1"/>
      <protection hidden="1"/>
    </xf>
    <xf numFmtId="0" fontId="66" fillId="0" borderId="49" xfId="0" applyFont="1" applyFill="1" applyBorder="1" applyAlignment="1" applyProtection="1">
      <alignment wrapText="1"/>
      <protection hidden="1"/>
    </xf>
    <xf numFmtId="0" fontId="66" fillId="0" borderId="157" xfId="0" applyFont="1" applyFill="1" applyBorder="1" applyAlignment="1" applyProtection="1">
      <alignment wrapText="1"/>
      <protection hidden="1"/>
    </xf>
    <xf numFmtId="0" fontId="10" fillId="0" borderId="12" xfId="0" applyFont="1" applyFill="1" applyBorder="1" applyAlignment="1" applyProtection="1">
      <alignment vertical="center" wrapText="1"/>
      <protection hidden="1"/>
    </xf>
    <xf numFmtId="0" fontId="10" fillId="0" borderId="1" xfId="0" applyFont="1" applyFill="1" applyBorder="1" applyAlignment="1" applyProtection="1">
      <alignment vertical="center" wrapText="1"/>
      <protection hidden="1"/>
    </xf>
    <xf numFmtId="0" fontId="10" fillId="0" borderId="10" xfId="0" applyFont="1" applyFill="1" applyBorder="1" applyAlignment="1" applyProtection="1">
      <alignment vertical="center" wrapText="1"/>
      <protection hidden="1"/>
    </xf>
    <xf numFmtId="0" fontId="10" fillId="0" borderId="30" xfId="0" applyFont="1" applyFill="1" applyBorder="1" applyAlignment="1" applyProtection="1">
      <alignment vertical="center" wrapText="1"/>
      <protection hidden="1"/>
    </xf>
    <xf numFmtId="0" fontId="6" fillId="0" borderId="43" xfId="0" applyNumberFormat="1" applyFont="1" applyBorder="1" applyAlignment="1" applyProtection="1">
      <alignment horizontal="center" vertical="center" wrapText="1"/>
      <protection hidden="1"/>
    </xf>
    <xf numFmtId="0" fontId="6" fillId="0" borderId="4" xfId="0" applyNumberFormat="1" applyFont="1" applyBorder="1" applyAlignment="1" applyProtection="1">
      <alignment horizontal="center" vertical="center" wrapText="1"/>
      <protection hidden="1"/>
    </xf>
    <xf numFmtId="0" fontId="10" fillId="5" borderId="181" xfId="0" applyNumberFormat="1" applyFont="1" applyFill="1" applyBorder="1" applyAlignment="1" applyProtection="1">
      <alignment horizontal="center" vertical="center" wrapText="1"/>
      <protection hidden="1"/>
    </xf>
    <xf numFmtId="0" fontId="10" fillId="5" borderId="113" xfId="0" applyNumberFormat="1" applyFont="1" applyFill="1" applyBorder="1" applyAlignment="1" applyProtection="1">
      <alignment horizontal="center" vertical="center" wrapText="1"/>
      <protection hidden="1"/>
    </xf>
    <xf numFmtId="0" fontId="10" fillId="0" borderId="137" xfId="0" applyFont="1" applyFill="1" applyBorder="1" applyAlignment="1" applyProtection="1">
      <alignment horizontal="left" vertical="center" wrapText="1"/>
      <protection hidden="1"/>
    </xf>
    <xf numFmtId="0" fontId="10" fillId="0" borderId="144" xfId="0" applyFont="1" applyFill="1" applyBorder="1" applyAlignment="1" applyProtection="1">
      <alignment horizontal="left" vertical="center" wrapText="1"/>
      <protection hidden="1"/>
    </xf>
    <xf numFmtId="0" fontId="10" fillId="6" borderId="9" xfId="0" applyFont="1" applyFill="1" applyBorder="1" applyAlignment="1" applyProtection="1">
      <alignment horizontal="center" vertical="center"/>
      <protection hidden="1"/>
    </xf>
    <xf numFmtId="0" fontId="10" fillId="6" borderId="8" xfId="0" applyFont="1" applyFill="1" applyBorder="1" applyAlignment="1" applyProtection="1">
      <alignment horizontal="center" vertical="center"/>
      <protection hidden="1"/>
    </xf>
    <xf numFmtId="0" fontId="10" fillId="6" borderId="33" xfId="0" applyFont="1" applyFill="1" applyBorder="1" applyAlignment="1" applyProtection="1">
      <alignment horizontal="center" vertical="center"/>
      <protection hidden="1"/>
    </xf>
    <xf numFmtId="0" fontId="3" fillId="2" borderId="0" xfId="0" applyFont="1" applyFill="1" applyBorder="1" applyAlignment="1" applyProtection="1">
      <alignment horizontal="left"/>
      <protection hidden="1"/>
    </xf>
    <xf numFmtId="0" fontId="16" fillId="2" borderId="0" xfId="0" applyFont="1" applyFill="1" applyBorder="1" applyAlignment="1" applyProtection="1">
      <alignment horizontal="left"/>
      <protection hidden="1"/>
    </xf>
    <xf numFmtId="0" fontId="171" fillId="0" borderId="9" xfId="0" applyFont="1" applyBorder="1" applyAlignment="1" applyProtection="1">
      <alignment horizontal="center" vertical="center"/>
      <protection locked="0"/>
    </xf>
    <xf numFmtId="0" fontId="171" fillId="0" borderId="33" xfId="0" applyFont="1" applyBorder="1" applyAlignment="1" applyProtection="1">
      <alignment horizontal="center" vertical="center"/>
      <protection locked="0"/>
    </xf>
    <xf numFmtId="0" fontId="6" fillId="0" borderId="10" xfId="0" applyNumberFormat="1" applyFont="1" applyFill="1" applyBorder="1" applyAlignment="1" applyProtection="1">
      <alignment horizontal="center" vertical="center" wrapText="1"/>
      <protection hidden="1"/>
    </xf>
    <xf numFmtId="0" fontId="6" fillId="0" borderId="34" xfId="0" applyNumberFormat="1" applyFont="1" applyFill="1" applyBorder="1" applyAlignment="1" applyProtection="1">
      <alignment horizontal="center" vertical="center" wrapText="1"/>
      <protection hidden="1"/>
    </xf>
    <xf numFmtId="0" fontId="6" fillId="0" borderId="27" xfId="0" applyNumberFormat="1" applyFont="1" applyFill="1" applyBorder="1" applyAlignment="1" applyProtection="1">
      <alignment horizontal="center" vertical="center" wrapText="1"/>
      <protection hidden="1"/>
    </xf>
    <xf numFmtId="0" fontId="6" fillId="0" borderId="35" xfId="0" applyNumberFormat="1" applyFont="1" applyFill="1" applyBorder="1" applyAlignment="1" applyProtection="1">
      <alignment horizontal="center" vertical="center" wrapText="1"/>
      <protection hidden="1"/>
    </xf>
    <xf numFmtId="0" fontId="23" fillId="0" borderId="154" xfId="0" applyFont="1" applyFill="1" applyBorder="1" applyAlignment="1" applyProtection="1">
      <alignment vertical="center" wrapText="1"/>
      <protection hidden="1"/>
    </xf>
    <xf numFmtId="0" fontId="23" fillId="0" borderId="158" xfId="0" applyFont="1" applyFill="1" applyBorder="1" applyAlignment="1" applyProtection="1">
      <alignment vertical="center" wrapText="1"/>
      <protection hidden="1"/>
    </xf>
    <xf numFmtId="0" fontId="10" fillId="5" borderId="24" xfId="0" applyFont="1" applyFill="1" applyBorder="1" applyAlignment="1" applyProtection="1">
      <alignment horizontal="center" vertical="center" wrapText="1"/>
      <protection hidden="1"/>
    </xf>
    <xf numFmtId="0" fontId="10" fillId="5" borderId="3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wrapText="1"/>
      <protection locked="0"/>
    </xf>
    <xf numFmtId="0" fontId="14" fillId="3" borderId="189" xfId="0" applyFont="1" applyFill="1" applyBorder="1" applyAlignment="1" applyProtection="1">
      <alignment horizontal="center" vertical="center" wrapText="1"/>
      <protection hidden="1"/>
    </xf>
    <xf numFmtId="0" fontId="2" fillId="3" borderId="187" xfId="0" applyNumberFormat="1" applyFont="1" applyFill="1" applyBorder="1" applyAlignment="1" applyProtection="1">
      <alignment horizontal="center" vertical="center" wrapText="1"/>
      <protection hidden="1"/>
    </xf>
    <xf numFmtId="0" fontId="2" fillId="3" borderId="141" xfId="0" applyNumberFormat="1" applyFont="1" applyFill="1" applyBorder="1" applyAlignment="1" applyProtection="1">
      <alignment horizontal="center" vertical="center" wrapText="1"/>
      <protection hidden="1"/>
    </xf>
    <xf numFmtId="0" fontId="6" fillId="0" borderId="10" xfId="0" applyNumberFormat="1" applyFont="1" applyBorder="1" applyAlignment="1" applyProtection="1">
      <alignment horizontal="center" vertical="center" wrapText="1"/>
      <protection locked="0"/>
    </xf>
    <xf numFmtId="0" fontId="6" fillId="0" borderId="12" xfId="0" applyNumberFormat="1" applyFont="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0" fontId="10" fillId="5" borderId="27" xfId="0" applyFont="1" applyFill="1" applyBorder="1" applyAlignment="1" applyProtection="1">
      <alignment horizontal="center" vertical="center" wrapText="1"/>
      <protection hidden="1"/>
    </xf>
    <xf numFmtId="0" fontId="10" fillId="5" borderId="25" xfId="0" applyFont="1" applyFill="1" applyBorder="1" applyAlignment="1" applyProtection="1">
      <alignment horizontal="center" vertical="center" wrapText="1"/>
      <protection hidden="1"/>
    </xf>
    <xf numFmtId="0" fontId="10" fillId="5" borderId="24" xfId="0" applyNumberFormat="1" applyFont="1" applyFill="1" applyBorder="1" applyAlignment="1" applyProtection="1">
      <alignment horizontal="center" vertical="center" wrapText="1"/>
      <protection hidden="1"/>
    </xf>
    <xf numFmtId="0" fontId="10" fillId="5" borderId="35" xfId="0" applyNumberFormat="1" applyFont="1" applyFill="1" applyBorder="1" applyAlignment="1" applyProtection="1">
      <alignment horizontal="center" vertical="center" wrapText="1"/>
      <protection hidden="1"/>
    </xf>
    <xf numFmtId="0" fontId="10" fillId="0" borderId="153" xfId="0" applyFont="1" applyBorder="1" applyAlignment="1" applyProtection="1">
      <alignment horizontal="center" vertical="center" wrapText="1"/>
      <protection hidden="1"/>
    </xf>
    <xf numFmtId="0" fontId="10" fillId="0" borderId="160" xfId="0" applyFont="1" applyBorder="1" applyAlignment="1" applyProtection="1">
      <alignment horizontal="center" vertical="center" wrapText="1"/>
      <protection hidden="1"/>
    </xf>
    <xf numFmtId="0" fontId="10" fillId="0" borderId="52" xfId="0" applyFont="1" applyBorder="1" applyAlignment="1" applyProtection="1">
      <alignment horizontal="center" vertical="center" wrapText="1"/>
      <protection hidden="1"/>
    </xf>
    <xf numFmtId="0" fontId="10" fillId="0" borderId="50" xfId="0" applyFont="1" applyBorder="1" applyAlignment="1" applyProtection="1">
      <alignment horizontal="center" vertical="center" wrapText="1"/>
      <protection hidden="1"/>
    </xf>
    <xf numFmtId="0" fontId="10" fillId="0" borderId="27" xfId="0" applyFont="1" applyBorder="1" applyAlignment="1" applyProtection="1">
      <alignment horizontal="center" vertical="center" wrapText="1"/>
      <protection hidden="1"/>
    </xf>
    <xf numFmtId="0" fontId="10" fillId="0" borderId="25" xfId="0" applyFont="1" applyBorder="1" applyAlignment="1" applyProtection="1">
      <alignment horizontal="center" vertical="center" wrapText="1"/>
      <protection hidden="1"/>
    </xf>
    <xf numFmtId="0" fontId="10" fillId="0" borderId="10" xfId="0" applyFont="1" applyFill="1" applyBorder="1" applyAlignment="1" applyProtection="1">
      <alignment horizontal="center" vertical="center" wrapText="1"/>
      <protection hidden="1"/>
    </xf>
    <xf numFmtId="0" fontId="10" fillId="0" borderId="5" xfId="0" applyFont="1" applyFill="1" applyBorder="1" applyAlignment="1" applyProtection="1">
      <alignment horizontal="center" vertical="center" wrapText="1"/>
      <protection hidden="1"/>
    </xf>
    <xf numFmtId="0" fontId="10" fillId="0" borderId="13" xfId="0" applyFont="1" applyFill="1" applyBorder="1" applyAlignment="1" applyProtection="1">
      <alignment horizontal="center" vertical="center" wrapText="1"/>
      <protection hidden="1"/>
    </xf>
    <xf numFmtId="0" fontId="10" fillId="0" borderId="0" xfId="0" applyFont="1" applyFill="1" applyBorder="1" applyAlignment="1" applyProtection="1">
      <alignment vertical="center"/>
      <protection hidden="1"/>
    </xf>
    <xf numFmtId="0" fontId="10" fillId="6" borderId="148" xfId="0" applyFont="1" applyFill="1" applyBorder="1" applyAlignment="1" applyProtection="1">
      <alignment horizontal="center" wrapText="1"/>
      <protection hidden="1"/>
    </xf>
    <xf numFmtId="0" fontId="10" fillId="6" borderId="49" xfId="0" applyFont="1" applyFill="1" applyBorder="1" applyAlignment="1" applyProtection="1">
      <alignment horizontal="center" wrapText="1"/>
      <protection hidden="1"/>
    </xf>
    <xf numFmtId="0" fontId="10" fillId="6" borderId="102" xfId="0" applyFont="1" applyFill="1" applyBorder="1" applyAlignment="1" applyProtection="1">
      <alignment horizontal="center" wrapText="1"/>
      <protection hidden="1"/>
    </xf>
    <xf numFmtId="0" fontId="10" fillId="6" borderId="47" xfId="0" applyFont="1" applyFill="1" applyBorder="1" applyAlignment="1" applyProtection="1">
      <alignment horizontal="center" wrapText="1"/>
      <protection hidden="1"/>
    </xf>
    <xf numFmtId="0" fontId="10" fillId="6" borderId="24" xfId="0" applyFont="1" applyFill="1" applyBorder="1" applyAlignment="1" applyProtection="1">
      <alignment horizontal="center" wrapText="1"/>
      <protection hidden="1"/>
    </xf>
    <xf numFmtId="0" fontId="10" fillId="6" borderId="22" xfId="0" applyFont="1" applyFill="1" applyBorder="1" applyAlignment="1" applyProtection="1">
      <alignment horizontal="center" wrapText="1"/>
      <protection hidden="1"/>
    </xf>
    <xf numFmtId="0" fontId="39" fillId="0" borderId="0" xfId="0" applyFont="1" applyFill="1" applyBorder="1" applyAlignment="1" applyProtection="1">
      <alignment horizontal="center"/>
      <protection hidden="1"/>
    </xf>
    <xf numFmtId="0" fontId="10" fillId="0" borderId="0" xfId="0" applyFont="1" applyFill="1" applyBorder="1" applyAlignment="1" applyProtection="1">
      <alignment vertical="center" wrapText="1"/>
      <protection hidden="1"/>
    </xf>
    <xf numFmtId="0" fontId="43" fillId="0" borderId="0" xfId="0" applyFont="1" applyFill="1" applyBorder="1" applyAlignment="1" applyProtection="1">
      <alignment vertical="center" wrapText="1"/>
      <protection hidden="1"/>
    </xf>
    <xf numFmtId="0" fontId="2" fillId="0" borderId="0" xfId="0" applyFont="1" applyFill="1" applyBorder="1" applyAlignment="1" applyProtection="1">
      <alignment horizontal="center" vertical="center"/>
      <protection hidden="1"/>
    </xf>
    <xf numFmtId="0" fontId="106" fillId="0" borderId="10" xfId="0" applyFont="1" applyBorder="1" applyAlignment="1" applyProtection="1">
      <alignment horizontal="center" vertical="center"/>
      <protection hidden="1"/>
    </xf>
    <xf numFmtId="0" fontId="106" fillId="0" borderId="5" xfId="0" applyFont="1" applyBorder="1" applyAlignment="1" applyProtection="1">
      <alignment horizontal="center" vertical="center"/>
      <protection hidden="1"/>
    </xf>
    <xf numFmtId="0" fontId="106" fillId="0" borderId="13" xfId="0" applyFont="1" applyBorder="1" applyAlignment="1" applyProtection="1">
      <alignment horizontal="center" vertical="center"/>
      <protection hidden="1"/>
    </xf>
    <xf numFmtId="49" fontId="10" fillId="2" borderId="61" xfId="0" applyNumberFormat="1" applyFont="1" applyFill="1" applyBorder="1" applyAlignment="1" applyProtection="1">
      <alignment horizontal="center"/>
      <protection hidden="1"/>
    </xf>
    <xf numFmtId="49" fontId="10" fillId="2" borderId="12" xfId="0" applyNumberFormat="1" applyFont="1" applyFill="1" applyBorder="1" applyAlignment="1" applyProtection="1">
      <alignment horizontal="center"/>
      <protection hidden="1"/>
    </xf>
    <xf numFmtId="49" fontId="10" fillId="2" borderId="8" xfId="0" applyNumberFormat="1" applyFont="1" applyFill="1" applyBorder="1" applyAlignment="1" applyProtection="1">
      <alignment horizontal="center"/>
      <protection hidden="1"/>
    </xf>
    <xf numFmtId="49" fontId="10" fillId="2" borderId="23" xfId="0" applyNumberFormat="1" applyFont="1" applyFill="1" applyBorder="1" applyAlignment="1" applyProtection="1">
      <alignment horizontal="center"/>
      <protection hidden="1"/>
    </xf>
    <xf numFmtId="0" fontId="10" fillId="8" borderId="43" xfId="0" applyFont="1" applyFill="1" applyBorder="1" applyAlignment="1" applyProtection="1">
      <alignment horizontal="center" vertical="center"/>
      <protection hidden="1"/>
    </xf>
    <xf numFmtId="0" fontId="10" fillId="8" borderId="3" xfId="0" applyFont="1" applyFill="1" applyBorder="1" applyAlignment="1" applyProtection="1">
      <alignment horizontal="center" vertical="center"/>
      <protection hidden="1"/>
    </xf>
    <xf numFmtId="0" fontId="10" fillId="8" borderId="4" xfId="0" applyFont="1" applyFill="1" applyBorder="1" applyAlignment="1" applyProtection="1">
      <alignment horizontal="center" vertical="center"/>
      <protection hidden="1"/>
    </xf>
    <xf numFmtId="49" fontId="10" fillId="0" borderId="167" xfId="0" applyNumberFormat="1" applyFont="1" applyBorder="1" applyAlignment="1" applyProtection="1">
      <alignment horizontal="center" vertical="center"/>
      <protection hidden="1"/>
    </xf>
    <xf numFmtId="49" fontId="10" fillId="0" borderId="92" xfId="0" applyNumberFormat="1" applyFont="1" applyBorder="1" applyAlignment="1" applyProtection="1">
      <alignment horizontal="center" vertical="center"/>
      <protection hidden="1"/>
    </xf>
    <xf numFmtId="49" fontId="10" fillId="2" borderId="5" xfId="0" applyNumberFormat="1" applyFont="1" applyFill="1" applyBorder="1" applyAlignment="1" applyProtection="1">
      <alignment horizontal="center"/>
      <protection hidden="1"/>
    </xf>
    <xf numFmtId="49" fontId="10" fillId="2" borderId="13" xfId="0" applyNumberFormat="1" applyFont="1" applyFill="1" applyBorder="1" applyAlignment="1" applyProtection="1">
      <alignment horizontal="center"/>
      <protection hidden="1"/>
    </xf>
    <xf numFmtId="49" fontId="10" fillId="2" borderId="46" xfId="0" applyNumberFormat="1" applyFont="1" applyFill="1" applyBorder="1" applyAlignment="1" applyProtection="1">
      <alignment horizontal="center"/>
      <protection hidden="1"/>
    </xf>
    <xf numFmtId="49" fontId="10" fillId="2" borderId="6" xfId="0" applyNumberFormat="1" applyFont="1" applyFill="1" applyBorder="1" applyAlignment="1" applyProtection="1">
      <alignment horizontal="center"/>
      <protection hidden="1"/>
    </xf>
    <xf numFmtId="0" fontId="10" fillId="0" borderId="105" xfId="0" applyFont="1" applyFill="1" applyBorder="1" applyAlignment="1" applyProtection="1">
      <alignment horizontal="left" vertical="center"/>
      <protection hidden="1"/>
    </xf>
    <xf numFmtId="0" fontId="10" fillId="0" borderId="46" xfId="0" applyFont="1" applyFill="1" applyBorder="1" applyAlignment="1" applyProtection="1">
      <alignment horizontal="left" vertical="center"/>
      <protection hidden="1"/>
    </xf>
    <xf numFmtId="0" fontId="10" fillId="0" borderId="162" xfId="0" applyFont="1" applyBorder="1" applyAlignment="1" applyProtection="1">
      <alignment vertical="center"/>
      <protection hidden="1"/>
    </xf>
    <xf numFmtId="0" fontId="10" fillId="0" borderId="18" xfId="0" applyFont="1" applyBorder="1" applyAlignment="1" applyProtection="1">
      <alignment vertical="center"/>
      <protection hidden="1"/>
    </xf>
    <xf numFmtId="49" fontId="23" fillId="6" borderId="58" xfId="0" applyNumberFormat="1" applyFont="1" applyFill="1" applyBorder="1" applyAlignment="1" applyProtection="1">
      <alignment horizontal="center" wrapText="1"/>
      <protection hidden="1"/>
    </xf>
    <xf numFmtId="49" fontId="50" fillId="6" borderId="50" xfId="0" applyNumberFormat="1" applyFont="1" applyFill="1" applyBorder="1" applyAlignment="1" applyProtection="1">
      <alignment horizontal="center" wrapText="1"/>
      <protection hidden="1"/>
    </xf>
    <xf numFmtId="49" fontId="50" fillId="6" borderId="47" xfId="0" applyNumberFormat="1" applyFont="1" applyFill="1" applyBorder="1" applyAlignment="1" applyProtection="1">
      <alignment horizontal="center" wrapText="1"/>
      <protection hidden="1"/>
    </xf>
    <xf numFmtId="49" fontId="50" fillId="6" borderId="25" xfId="0" applyNumberFormat="1" applyFont="1" applyFill="1" applyBorder="1" applyAlignment="1" applyProtection="1">
      <alignment horizontal="center" wrapText="1"/>
      <protection hidden="1"/>
    </xf>
    <xf numFmtId="0" fontId="10" fillId="11" borderId="61" xfId="0" applyFont="1" applyFill="1" applyBorder="1" applyAlignment="1" applyProtection="1">
      <alignment horizontal="left" vertical="center" wrapText="1"/>
      <protection hidden="1"/>
    </xf>
    <xf numFmtId="0" fontId="10" fillId="11" borderId="5" xfId="0" applyFont="1" applyFill="1" applyBorder="1" applyAlignment="1" applyProtection="1">
      <alignment horizontal="left" vertical="center" wrapText="1"/>
      <protection hidden="1"/>
    </xf>
    <xf numFmtId="0" fontId="10" fillId="11" borderId="13" xfId="0" applyFont="1" applyFill="1" applyBorder="1" applyAlignment="1" applyProtection="1">
      <alignment horizontal="left" vertical="center" wrapText="1"/>
      <protection hidden="1"/>
    </xf>
    <xf numFmtId="0" fontId="2" fillId="11" borderId="167" xfId="0" applyFont="1" applyFill="1" applyBorder="1" applyAlignment="1" applyProtection="1">
      <alignment horizontal="center" vertical="center"/>
      <protection hidden="1"/>
    </xf>
    <xf numFmtId="0" fontId="3" fillId="6" borderId="167" xfId="0" applyFont="1" applyFill="1" applyBorder="1" applyAlignment="1" applyProtection="1">
      <alignment horizontal="center" vertical="center" wrapText="1"/>
      <protection hidden="1"/>
    </xf>
    <xf numFmtId="0" fontId="41" fillId="6" borderId="93" xfId="0" applyFont="1" applyFill="1" applyBorder="1" applyAlignment="1" applyProtection="1">
      <alignment horizontal="center" vertical="center" wrapText="1"/>
      <protection hidden="1"/>
    </xf>
    <xf numFmtId="0" fontId="10" fillId="6" borderId="148" xfId="0" applyFont="1" applyFill="1" applyBorder="1" applyAlignment="1" applyProtection="1">
      <alignment vertical="center" wrapText="1"/>
      <protection hidden="1"/>
    </xf>
    <xf numFmtId="0" fontId="10" fillId="6" borderId="102" xfId="0" applyFont="1" applyFill="1" applyBorder="1" applyAlignment="1" applyProtection="1">
      <alignment vertical="center" wrapText="1"/>
      <protection hidden="1"/>
    </xf>
    <xf numFmtId="0" fontId="10" fillId="6" borderId="58" xfId="0" applyFont="1" applyFill="1" applyBorder="1" applyAlignment="1" applyProtection="1">
      <alignment vertical="center" wrapText="1"/>
      <protection hidden="1"/>
    </xf>
    <xf numFmtId="0" fontId="10" fillId="6" borderId="28" xfId="0" applyFont="1" applyFill="1" applyBorder="1" applyAlignment="1" applyProtection="1">
      <alignment vertical="center" wrapText="1"/>
      <protection hidden="1"/>
    </xf>
    <xf numFmtId="0" fontId="10" fillId="6" borderId="47" xfId="0" applyFont="1" applyFill="1" applyBorder="1" applyAlignment="1" applyProtection="1">
      <alignment vertical="center" wrapText="1"/>
      <protection hidden="1"/>
    </xf>
    <xf numFmtId="0" fontId="10" fillId="6" borderId="22" xfId="0" applyFont="1" applyFill="1" applyBorder="1" applyAlignment="1" applyProtection="1">
      <alignment vertical="center" wrapText="1"/>
      <protection hidden="1"/>
    </xf>
    <xf numFmtId="0" fontId="10" fillId="8" borderId="137" xfId="0" applyFont="1" applyFill="1" applyBorder="1" applyAlignment="1" applyProtection="1">
      <alignment horizontal="center" vertical="center" wrapText="1"/>
      <protection hidden="1"/>
    </xf>
    <xf numFmtId="0" fontId="10" fillId="8" borderId="136" xfId="0" applyFont="1" applyFill="1" applyBorder="1" applyAlignment="1" applyProtection="1">
      <alignment horizontal="center" vertical="center" wrapText="1"/>
      <protection hidden="1"/>
    </xf>
    <xf numFmtId="0" fontId="10" fillId="8" borderId="63" xfId="0" applyFont="1" applyFill="1" applyBorder="1" applyAlignment="1" applyProtection="1">
      <alignment horizontal="center" vertical="center" wrapText="1"/>
      <protection hidden="1"/>
    </xf>
    <xf numFmtId="0" fontId="10" fillId="8" borderId="163" xfId="0" applyNumberFormat="1" applyFont="1" applyFill="1" applyBorder="1" applyAlignment="1" applyProtection="1">
      <alignment horizontal="center" vertical="center" wrapText="1"/>
      <protection hidden="1"/>
    </xf>
    <xf numFmtId="0" fontId="10" fillId="8" borderId="51" xfId="0" applyNumberFormat="1" applyFont="1" applyFill="1" applyBorder="1" applyAlignment="1" applyProtection="1">
      <alignment horizontal="center" vertical="center" wrapText="1"/>
      <protection hidden="1"/>
    </xf>
    <xf numFmtId="0" fontId="10" fillId="8" borderId="26" xfId="0" applyNumberFormat="1" applyFont="1" applyFill="1" applyBorder="1" applyAlignment="1" applyProtection="1">
      <alignment horizontal="center" vertical="center" wrapText="1"/>
      <protection hidden="1"/>
    </xf>
    <xf numFmtId="0" fontId="10" fillId="8" borderId="202" xfId="0" applyNumberFormat="1" applyFont="1" applyFill="1" applyBorder="1" applyAlignment="1" applyProtection="1">
      <alignment horizontal="center" vertical="center" wrapText="1"/>
      <protection hidden="1"/>
    </xf>
    <xf numFmtId="0" fontId="10" fillId="8" borderId="166" xfId="0" applyNumberFormat="1" applyFont="1" applyFill="1" applyBorder="1" applyAlignment="1" applyProtection="1">
      <alignment horizontal="center" vertical="center" wrapText="1"/>
      <protection hidden="1"/>
    </xf>
    <xf numFmtId="0" fontId="10" fillId="8" borderId="124" xfId="0" applyNumberFormat="1" applyFont="1" applyFill="1" applyBorder="1" applyAlignment="1" applyProtection="1">
      <alignment horizontal="center" vertical="center" wrapText="1"/>
      <protection hidden="1"/>
    </xf>
    <xf numFmtId="0" fontId="3" fillId="0" borderId="95" xfId="0" applyFont="1" applyBorder="1" applyAlignment="1" applyProtection="1">
      <alignment horizontal="center" vertical="center" textRotation="90"/>
      <protection hidden="1"/>
    </xf>
    <xf numFmtId="0" fontId="3" fillId="0" borderId="136" xfId="0" applyFont="1" applyBorder="1" applyAlignment="1" applyProtection="1">
      <alignment horizontal="center" vertical="center" textRotation="90"/>
      <protection hidden="1"/>
    </xf>
    <xf numFmtId="0" fontId="3" fillId="0" borderId="138" xfId="0" applyFont="1" applyBorder="1" applyAlignment="1" applyProtection="1">
      <alignment horizontal="center" vertical="center" textRotation="90"/>
      <protection hidden="1"/>
    </xf>
    <xf numFmtId="0" fontId="10" fillId="5" borderId="47" xfId="0" applyNumberFormat="1" applyFont="1" applyFill="1" applyBorder="1" applyAlignment="1" applyProtection="1">
      <alignment horizontal="center" vertical="center" wrapText="1"/>
      <protection hidden="1"/>
    </xf>
    <xf numFmtId="0" fontId="10" fillId="5" borderId="22" xfId="0" applyNumberFormat="1" applyFont="1" applyFill="1" applyBorder="1" applyAlignment="1" applyProtection="1">
      <alignment horizontal="center" vertical="center" wrapText="1"/>
      <protection hidden="1"/>
    </xf>
    <xf numFmtId="0" fontId="6" fillId="0" borderId="13" xfId="0" applyNumberFormat="1" applyFont="1" applyBorder="1" applyAlignment="1" applyProtection="1">
      <alignment horizontal="center" vertical="center" wrapText="1"/>
      <protection hidden="1"/>
    </xf>
    <xf numFmtId="0" fontId="6" fillId="0" borderId="21" xfId="0" applyNumberFormat="1" applyFont="1" applyBorder="1" applyAlignment="1" applyProtection="1">
      <alignment horizontal="center" vertical="center" wrapText="1"/>
      <protection locked="0"/>
    </xf>
    <xf numFmtId="0" fontId="6" fillId="0" borderId="38" xfId="0" applyNumberFormat="1" applyFont="1" applyBorder="1" applyAlignment="1" applyProtection="1">
      <alignment horizontal="center" vertical="center" wrapText="1"/>
      <protection locked="0"/>
    </xf>
    <xf numFmtId="0" fontId="6" fillId="0" borderId="34" xfId="0" applyNumberFormat="1" applyFont="1" applyBorder="1" applyAlignment="1" applyProtection="1">
      <alignment horizontal="center" vertical="center" wrapText="1"/>
      <protection locked="0"/>
    </xf>
    <xf numFmtId="0" fontId="10" fillId="5" borderId="185" xfId="0" applyNumberFormat="1" applyFont="1" applyFill="1" applyBorder="1" applyAlignment="1" applyProtection="1">
      <alignment horizontal="center" wrapText="1"/>
      <protection hidden="1"/>
    </xf>
    <xf numFmtId="0" fontId="10" fillId="5" borderId="186" xfId="0" applyNumberFormat="1" applyFont="1" applyFill="1" applyBorder="1" applyAlignment="1" applyProtection="1">
      <alignment horizontal="center" wrapText="1"/>
      <protection hidden="1"/>
    </xf>
    <xf numFmtId="0" fontId="42" fillId="4" borderId="10" xfId="0" applyNumberFormat="1" applyFont="1" applyFill="1" applyBorder="1" applyAlignment="1" applyProtection="1">
      <alignment horizontal="center" vertical="center" wrapText="1"/>
      <protection locked="0"/>
    </xf>
    <xf numFmtId="0" fontId="42" fillId="4" borderId="12" xfId="0" applyNumberFormat="1" applyFont="1" applyFill="1" applyBorder="1" applyAlignment="1" applyProtection="1">
      <alignment horizontal="center" vertical="center" wrapText="1"/>
      <protection locked="0"/>
    </xf>
    <xf numFmtId="0" fontId="6" fillId="0" borderId="153" xfId="0" applyNumberFormat="1" applyFont="1" applyBorder="1" applyAlignment="1" applyProtection="1">
      <alignment horizontal="center" vertical="center" wrapText="1"/>
      <protection locked="0"/>
    </xf>
    <xf numFmtId="0" fontId="6" fillId="0" borderId="160" xfId="0" applyNumberFormat="1" applyFont="1" applyBorder="1" applyAlignment="1" applyProtection="1">
      <alignment horizontal="center" vertical="center" wrapText="1"/>
      <protection locked="0"/>
    </xf>
    <xf numFmtId="0" fontId="6" fillId="0" borderId="14" xfId="0" applyNumberFormat="1" applyFont="1" applyBorder="1" applyAlignment="1" applyProtection="1">
      <alignment horizontal="center" vertical="center" wrapText="1"/>
      <protection locked="0"/>
    </xf>
    <xf numFmtId="0" fontId="6" fillId="0" borderId="6" xfId="0" applyNumberFormat="1" applyFont="1" applyBorder="1" applyAlignment="1" applyProtection="1">
      <alignment horizontal="center" vertical="center" wrapText="1"/>
      <protection locked="0"/>
    </xf>
    <xf numFmtId="0" fontId="17" fillId="5" borderId="112" xfId="0" applyNumberFormat="1" applyFont="1" applyFill="1" applyBorder="1" applyAlignment="1" applyProtection="1">
      <alignment horizontal="center" wrapText="1"/>
      <protection hidden="1"/>
    </xf>
    <xf numFmtId="0" fontId="17" fillId="5" borderId="182" xfId="0" applyNumberFormat="1" applyFont="1" applyFill="1" applyBorder="1" applyAlignment="1" applyProtection="1">
      <alignment horizontal="center" wrapText="1"/>
      <protection hidden="1"/>
    </xf>
    <xf numFmtId="0" fontId="2" fillId="3" borderId="141" xfId="0" applyFont="1" applyFill="1" applyBorder="1" applyAlignment="1" applyProtection="1">
      <alignment horizontal="center" vertical="center" wrapText="1"/>
      <protection hidden="1"/>
    </xf>
    <xf numFmtId="0" fontId="85" fillId="4" borderId="10" xfId="0" applyNumberFormat="1" applyFont="1" applyFill="1" applyBorder="1" applyAlignment="1" applyProtection="1">
      <alignment horizontal="center" vertical="center" wrapText="1"/>
      <protection locked="0"/>
    </xf>
    <xf numFmtId="0" fontId="85" fillId="4" borderId="34" xfId="0" applyNumberFormat="1" applyFont="1" applyFill="1" applyBorder="1" applyAlignment="1" applyProtection="1">
      <alignment horizontal="center" vertical="center" wrapText="1"/>
      <protection locked="0"/>
    </xf>
    <xf numFmtId="0" fontId="6" fillId="0" borderId="38" xfId="0" applyNumberFormat="1" applyFont="1" applyBorder="1" applyAlignment="1" applyProtection="1">
      <alignment horizontal="center" vertical="center" wrapText="1"/>
      <protection hidden="1"/>
    </xf>
    <xf numFmtId="0" fontId="17" fillId="5" borderId="24" xfId="0" applyNumberFormat="1" applyFont="1" applyFill="1" applyBorder="1" applyAlignment="1" applyProtection="1">
      <alignment horizontal="center" vertical="center" wrapText="1"/>
      <protection hidden="1"/>
    </xf>
    <xf numFmtId="0" fontId="17" fillId="5" borderId="35" xfId="0" applyNumberFormat="1" applyFont="1" applyFill="1" applyBorder="1" applyAlignment="1" applyProtection="1">
      <alignment horizontal="center" vertical="center" wrapText="1"/>
      <protection hidden="1"/>
    </xf>
    <xf numFmtId="0" fontId="84" fillId="0" borderId="21" xfId="0" applyNumberFormat="1" applyFont="1" applyFill="1" applyBorder="1" applyAlignment="1" applyProtection="1">
      <alignment horizontal="center" vertical="center" wrapText="1"/>
      <protection locked="0"/>
    </xf>
    <xf numFmtId="0" fontId="84" fillId="0" borderId="38" xfId="0" applyNumberFormat="1" applyFont="1" applyFill="1" applyBorder="1" applyAlignment="1" applyProtection="1">
      <alignment horizontal="center" vertical="center" wrapText="1"/>
      <protection locked="0"/>
    </xf>
    <xf numFmtId="0" fontId="6" fillId="0" borderId="45" xfId="0" applyNumberFormat="1" applyFont="1" applyBorder="1" applyAlignment="1" applyProtection="1">
      <alignment horizontal="center" vertical="center" wrapText="1"/>
      <protection hidden="1"/>
    </xf>
    <xf numFmtId="0" fontId="6" fillId="0" borderId="33" xfId="0" applyNumberFormat="1" applyFont="1" applyBorder="1" applyAlignment="1" applyProtection="1">
      <alignment horizontal="center" vertical="center" wrapText="1"/>
      <protection hidden="1"/>
    </xf>
    <xf numFmtId="0" fontId="6" fillId="0" borderId="27" xfId="0" applyNumberFormat="1" applyFont="1" applyBorder="1" applyAlignment="1" applyProtection="1">
      <alignment horizontal="center" vertical="center" wrapText="1"/>
      <protection locked="0"/>
    </xf>
    <xf numFmtId="0" fontId="6" fillId="0" borderId="25" xfId="0" applyNumberFormat="1" applyFont="1" applyBorder="1" applyAlignment="1" applyProtection="1">
      <alignment horizontal="center" vertical="center" wrapText="1"/>
      <protection locked="0"/>
    </xf>
    <xf numFmtId="0" fontId="6" fillId="0" borderId="21" xfId="0" applyNumberFormat="1" applyFont="1" applyFill="1" applyBorder="1" applyAlignment="1" applyProtection="1">
      <alignment horizontal="center" vertical="center" wrapText="1"/>
      <protection hidden="1"/>
    </xf>
    <xf numFmtId="0" fontId="6" fillId="0" borderId="38" xfId="0" applyNumberFormat="1" applyFont="1" applyFill="1" applyBorder="1" applyAlignment="1" applyProtection="1">
      <alignment horizontal="center" vertical="center" wrapText="1"/>
      <protection hidden="1"/>
    </xf>
    <xf numFmtId="0" fontId="42" fillId="4" borderId="34" xfId="0" applyNumberFormat="1" applyFont="1" applyFill="1" applyBorder="1" applyAlignment="1" applyProtection="1">
      <alignment horizontal="center" vertical="center" wrapText="1"/>
      <protection hidden="1"/>
    </xf>
    <xf numFmtId="0" fontId="106" fillId="0" borderId="70" xfId="0" applyFont="1" applyBorder="1" applyAlignment="1" applyProtection="1">
      <alignment horizontal="right" vertical="center"/>
      <protection hidden="1"/>
    </xf>
    <xf numFmtId="0" fontId="106" fillId="0" borderId="14" xfId="0" applyFont="1" applyBorder="1" applyAlignment="1" applyProtection="1">
      <alignment horizontal="right" vertical="center"/>
      <protection hidden="1"/>
    </xf>
    <xf numFmtId="0" fontId="106" fillId="6" borderId="45" xfId="0" applyFont="1" applyFill="1" applyBorder="1" applyAlignment="1" applyProtection="1">
      <alignment horizontal="center" vertical="center"/>
      <protection hidden="1"/>
    </xf>
    <xf numFmtId="0" fontId="106" fillId="6" borderId="8" xfId="0" applyFont="1" applyFill="1" applyBorder="1" applyAlignment="1" applyProtection="1">
      <alignment horizontal="center" vertical="center"/>
      <protection hidden="1"/>
    </xf>
    <xf numFmtId="0" fontId="106" fillId="6" borderId="11" xfId="0" applyFont="1" applyFill="1" applyBorder="1" applyAlignment="1" applyProtection="1">
      <alignment horizontal="center" vertical="center"/>
      <protection hidden="1"/>
    </xf>
    <xf numFmtId="0" fontId="6" fillId="0" borderId="10" xfId="0" applyFont="1" applyBorder="1" applyAlignment="1" applyProtection="1">
      <alignment horizontal="center" vertical="center" wrapText="1"/>
      <protection hidden="1"/>
    </xf>
    <xf numFmtId="0" fontId="6" fillId="0" borderId="34" xfId="0" applyFont="1" applyBorder="1" applyAlignment="1" applyProtection="1">
      <alignment horizontal="center" vertical="center" wrapText="1"/>
      <protection hidden="1"/>
    </xf>
    <xf numFmtId="0" fontId="6" fillId="0" borderId="41" xfId="0" applyFont="1" applyBorder="1" applyAlignment="1" applyProtection="1">
      <alignment horizontal="center" vertical="center" wrapText="1"/>
      <protection hidden="1"/>
    </xf>
    <xf numFmtId="0" fontId="6" fillId="0" borderId="142" xfId="0" applyFont="1" applyBorder="1" applyAlignment="1" applyProtection="1">
      <alignment horizontal="center" vertical="center" wrapText="1"/>
      <protection hidden="1"/>
    </xf>
    <xf numFmtId="0" fontId="15" fillId="3" borderId="140" xfId="0" applyNumberFormat="1" applyFont="1" applyFill="1" applyBorder="1" applyAlignment="1" applyProtection="1">
      <alignment horizontal="center" vertical="center" wrapText="1"/>
      <protection hidden="1"/>
    </xf>
    <xf numFmtId="0" fontId="15" fillId="3" borderId="141" xfId="0" applyNumberFormat="1" applyFont="1" applyFill="1" applyBorder="1" applyAlignment="1" applyProtection="1">
      <alignment horizontal="center" vertical="center" wrapText="1"/>
      <protection hidden="1"/>
    </xf>
    <xf numFmtId="0" fontId="15" fillId="3" borderId="173" xfId="0" applyNumberFormat="1" applyFont="1" applyFill="1" applyBorder="1" applyAlignment="1" applyProtection="1">
      <alignment horizontal="center" vertical="center" wrapText="1"/>
      <protection hidden="1"/>
    </xf>
    <xf numFmtId="0" fontId="15" fillId="3" borderId="175" xfId="0" applyNumberFormat="1" applyFont="1" applyFill="1" applyBorder="1" applyAlignment="1" applyProtection="1">
      <alignment horizontal="center" vertical="center" wrapText="1"/>
      <protection hidden="1"/>
    </xf>
    <xf numFmtId="0" fontId="42" fillId="4" borderId="14" xfId="0" applyFont="1" applyFill="1" applyBorder="1" applyAlignment="1" applyProtection="1">
      <alignment horizontal="center" vertical="center" wrapText="1"/>
      <protection hidden="1"/>
    </xf>
    <xf numFmtId="0" fontId="42" fillId="4" borderId="32" xfId="0" applyFont="1" applyFill="1" applyBorder="1" applyAlignment="1" applyProtection="1">
      <alignment horizontal="center" vertical="center" wrapText="1"/>
      <protection hidden="1"/>
    </xf>
    <xf numFmtId="0" fontId="10" fillId="0" borderId="99" xfId="0" applyFont="1" applyBorder="1" applyAlignment="1" applyProtection="1">
      <alignment horizontal="center" vertical="center" wrapText="1"/>
      <protection hidden="1"/>
    </xf>
    <xf numFmtId="0" fontId="10" fillId="0" borderId="174" xfId="0" applyFont="1" applyBorder="1" applyAlignment="1" applyProtection="1">
      <alignment horizontal="center" vertical="center" wrapText="1"/>
      <protection hidden="1"/>
    </xf>
    <xf numFmtId="0" fontId="10" fillId="5" borderId="185" xfId="0" applyFont="1" applyFill="1" applyBorder="1" applyAlignment="1" applyProtection="1">
      <alignment horizontal="center" vertical="center" wrapText="1"/>
      <protection hidden="1"/>
    </xf>
    <xf numFmtId="0" fontId="10" fillId="5" borderId="186" xfId="0" applyFont="1" applyFill="1" applyBorder="1" applyAlignment="1" applyProtection="1">
      <alignment horizontal="center" vertical="center" wrapText="1"/>
      <protection hidden="1"/>
    </xf>
    <xf numFmtId="0" fontId="106" fillId="0" borderId="125" xfId="0" applyFont="1" applyBorder="1" applyAlignment="1" applyProtection="1">
      <alignment horizontal="center" vertical="center"/>
      <protection hidden="1"/>
    </xf>
    <xf numFmtId="0" fontId="106" fillId="0" borderId="16" xfId="0" applyFont="1" applyBorder="1" applyAlignment="1" applyProtection="1">
      <alignment horizontal="center" vertical="center"/>
      <protection hidden="1"/>
    </xf>
    <xf numFmtId="0" fontId="106" fillId="6" borderId="47" xfId="0" applyFont="1" applyFill="1" applyBorder="1" applyAlignment="1" applyProtection="1">
      <alignment horizontal="center" vertical="center"/>
      <protection hidden="1"/>
    </xf>
    <xf numFmtId="0" fontId="106" fillId="6" borderId="24" xfId="0" applyFont="1" applyFill="1" applyBorder="1" applyAlignment="1" applyProtection="1">
      <alignment horizontal="center" vertical="center"/>
      <protection hidden="1"/>
    </xf>
    <xf numFmtId="0" fontId="106" fillId="6" borderId="25" xfId="0" applyFont="1" applyFill="1" applyBorder="1" applyAlignment="1" applyProtection="1">
      <alignment horizontal="center" vertical="center"/>
      <protection hidden="1"/>
    </xf>
    <xf numFmtId="0" fontId="2" fillId="6" borderId="43" xfId="0" applyFont="1" applyFill="1" applyBorder="1" applyAlignment="1" applyProtection="1">
      <alignment horizontal="center" vertical="center"/>
      <protection hidden="1"/>
    </xf>
    <xf numFmtId="0" fontId="2" fillId="6" borderId="3" xfId="0" applyFont="1" applyFill="1" applyBorder="1" applyAlignment="1" applyProtection="1">
      <alignment horizontal="center" vertical="center"/>
      <protection hidden="1"/>
    </xf>
    <xf numFmtId="0" fontId="2" fillId="6" borderId="4" xfId="0" applyFont="1" applyFill="1" applyBorder="1" applyAlignment="1" applyProtection="1">
      <alignment horizontal="center" vertical="center"/>
      <protection hidden="1"/>
    </xf>
    <xf numFmtId="0" fontId="10" fillId="6" borderId="23" xfId="0" applyFont="1" applyFill="1" applyBorder="1" applyAlignment="1" applyProtection="1">
      <alignment horizontal="center" vertical="center"/>
      <protection hidden="1"/>
    </xf>
    <xf numFmtId="0" fontId="117" fillId="6" borderId="148" xfId="0" applyFont="1" applyFill="1" applyBorder="1" applyAlignment="1" applyProtection="1">
      <alignment horizontal="center" vertical="center"/>
      <protection hidden="1"/>
    </xf>
    <xf numFmtId="0" fontId="117" fillId="6" borderId="49" xfId="0" applyFont="1" applyFill="1" applyBorder="1" applyAlignment="1" applyProtection="1">
      <alignment horizontal="center" vertical="center"/>
      <protection hidden="1"/>
    </xf>
    <xf numFmtId="0" fontId="117" fillId="6" borderId="102" xfId="0" applyFont="1" applyFill="1" applyBorder="1" applyAlignment="1" applyProtection="1">
      <alignment horizontal="center" vertical="center"/>
      <protection hidden="1"/>
    </xf>
    <xf numFmtId="0" fontId="106" fillId="6" borderId="7" xfId="0" applyFont="1" applyFill="1" applyBorder="1" applyAlignment="1" applyProtection="1">
      <alignment horizontal="center" vertical="center"/>
      <protection hidden="1"/>
    </xf>
    <xf numFmtId="0" fontId="106" fillId="6" borderId="104" xfId="0" applyFont="1" applyFill="1" applyBorder="1" applyAlignment="1" applyProtection="1">
      <alignment horizontal="center" vertical="center"/>
      <protection hidden="1"/>
    </xf>
    <xf numFmtId="0" fontId="106" fillId="0" borderId="14" xfId="0" applyFont="1" applyBorder="1" applyAlignment="1" applyProtection="1">
      <alignment horizontal="center" vertical="center"/>
      <protection hidden="1"/>
    </xf>
    <xf numFmtId="0" fontId="106" fillId="0" borderId="18" xfId="0" applyFont="1" applyBorder="1" applyAlignment="1" applyProtection="1">
      <alignment horizontal="center" vertical="center"/>
      <protection hidden="1"/>
    </xf>
    <xf numFmtId="0" fontId="113" fillId="0" borderId="132" xfId="0" applyFont="1" applyBorder="1" applyAlignment="1" applyProtection="1">
      <alignment horizontal="left" vertical="center"/>
      <protection locked="0"/>
    </xf>
    <xf numFmtId="0" fontId="113" fillId="0" borderId="32" xfId="0" applyFont="1" applyBorder="1" applyAlignment="1" applyProtection="1">
      <alignment horizontal="left" vertical="center"/>
      <protection locked="0"/>
    </xf>
    <xf numFmtId="0" fontId="106" fillId="0" borderId="21" xfId="0" applyFont="1" applyBorder="1" applyAlignment="1" applyProtection="1">
      <alignment horizontal="center" vertical="center"/>
      <protection hidden="1"/>
    </xf>
    <xf numFmtId="0" fontId="106" fillId="0" borderId="3" xfId="0" applyFont="1" applyBorder="1" applyAlignment="1" applyProtection="1">
      <alignment horizontal="center" vertical="center"/>
      <protection hidden="1"/>
    </xf>
    <xf numFmtId="0" fontId="106" fillId="0" borderId="4" xfId="0" applyFont="1" applyBorder="1" applyAlignment="1" applyProtection="1">
      <alignment horizontal="center" vertical="center"/>
      <protection hidden="1"/>
    </xf>
    <xf numFmtId="0" fontId="3" fillId="0" borderId="63" xfId="0" applyFont="1" applyBorder="1" applyAlignment="1" applyProtection="1">
      <alignment horizontal="center" vertical="center" textRotation="90"/>
      <protection hidden="1"/>
    </xf>
    <xf numFmtId="0" fontId="10" fillId="0" borderId="21" xfId="0" applyFont="1" applyBorder="1" applyAlignment="1" applyProtection="1">
      <alignment horizontal="center" vertical="center"/>
      <protection hidden="1"/>
    </xf>
    <xf numFmtId="0" fontId="10" fillId="0" borderId="3" xfId="0" applyFont="1" applyBorder="1" applyAlignment="1" applyProtection="1">
      <alignment horizontal="center" vertical="center"/>
      <protection hidden="1"/>
    </xf>
    <xf numFmtId="0" fontId="10" fillId="0" borderId="4" xfId="0" applyFont="1" applyBorder="1" applyAlignment="1" applyProtection="1">
      <alignment horizontal="center" vertical="center"/>
      <protection hidden="1"/>
    </xf>
    <xf numFmtId="0" fontId="106" fillId="0" borderId="2" xfId="0" applyFont="1" applyBorder="1" applyAlignment="1" applyProtection="1">
      <alignment horizontal="center" vertical="center"/>
      <protection hidden="1"/>
    </xf>
    <xf numFmtId="0" fontId="106" fillId="0" borderId="151" xfId="0" applyFont="1" applyBorder="1" applyAlignment="1" applyProtection="1">
      <alignment horizontal="center" vertical="center"/>
      <protection hidden="1"/>
    </xf>
    <xf numFmtId="0" fontId="106" fillId="0" borderId="1" xfId="0" applyFont="1" applyBorder="1" applyAlignment="1" applyProtection="1">
      <alignment horizontal="center" vertical="center"/>
      <protection hidden="1"/>
    </xf>
    <xf numFmtId="0" fontId="106" fillId="0" borderId="30" xfId="0" applyFont="1" applyBorder="1" applyAlignment="1" applyProtection="1">
      <alignment horizontal="center" vertical="center"/>
      <protection hidden="1"/>
    </xf>
    <xf numFmtId="0" fontId="106" fillId="6" borderId="9" xfId="0" applyFont="1" applyFill="1" applyBorder="1" applyAlignment="1" applyProtection="1">
      <alignment horizontal="center" vertical="center"/>
      <protection hidden="1"/>
    </xf>
    <xf numFmtId="0" fontId="106" fillId="6" borderId="23" xfId="0" applyFont="1" applyFill="1" applyBorder="1" applyAlignment="1" applyProtection="1">
      <alignment horizontal="center" vertical="center"/>
      <protection hidden="1"/>
    </xf>
    <xf numFmtId="0" fontId="117" fillId="6" borderId="173" xfId="0" applyFont="1" applyFill="1" applyBorder="1" applyAlignment="1" applyProtection="1">
      <alignment horizontal="center" vertical="center"/>
      <protection hidden="1"/>
    </xf>
    <xf numFmtId="0" fontId="117" fillId="6" borderId="140" xfId="0" applyFont="1" applyFill="1" applyBorder="1" applyAlignment="1" applyProtection="1">
      <alignment horizontal="center" vertical="center"/>
      <protection hidden="1"/>
    </xf>
    <xf numFmtId="0" fontId="117" fillId="6" borderId="175" xfId="0" applyFont="1" applyFill="1" applyBorder="1" applyAlignment="1" applyProtection="1">
      <alignment horizontal="center" vertical="center"/>
      <protection hidden="1"/>
    </xf>
    <xf numFmtId="0" fontId="2" fillId="6" borderId="173" xfId="0" applyFont="1" applyFill="1" applyBorder="1" applyAlignment="1" applyProtection="1">
      <alignment horizontal="center" vertical="center"/>
      <protection hidden="1"/>
    </xf>
    <xf numFmtId="0" fontId="2" fillId="6" borderId="140" xfId="0" applyFont="1" applyFill="1" applyBorder="1" applyAlignment="1" applyProtection="1">
      <alignment horizontal="center" vertical="center"/>
      <protection hidden="1"/>
    </xf>
    <xf numFmtId="0" fontId="2" fillId="6" borderId="141" xfId="0" applyFont="1" applyFill="1" applyBorder="1" applyAlignment="1" applyProtection="1">
      <alignment horizontal="center" vertical="center"/>
      <protection hidden="1"/>
    </xf>
    <xf numFmtId="0" fontId="113" fillId="0" borderId="70" xfId="0" applyFont="1" applyBorder="1" applyAlignment="1" applyProtection="1">
      <alignment vertical="center"/>
      <protection locked="0"/>
    </xf>
    <xf numFmtId="0" fontId="113" fillId="0" borderId="14" xfId="0" applyFont="1" applyBorder="1" applyAlignment="1" applyProtection="1">
      <alignment vertical="center"/>
      <protection locked="0"/>
    </xf>
    <xf numFmtId="0" fontId="10" fillId="6" borderId="24" xfId="0" applyFont="1" applyFill="1" applyBorder="1" applyAlignment="1" applyProtection="1">
      <alignment horizontal="center" vertical="center"/>
      <protection hidden="1"/>
    </xf>
    <xf numFmtId="0" fontId="10" fillId="6" borderId="22" xfId="0" applyFont="1" applyFill="1" applyBorder="1" applyAlignment="1" applyProtection="1">
      <alignment horizontal="center" vertical="center"/>
      <protection hidden="1"/>
    </xf>
    <xf numFmtId="0" fontId="106" fillId="0" borderId="162" xfId="0" applyFont="1" applyBorder="1" applyAlignment="1" applyProtection="1">
      <alignment horizontal="left" vertical="center"/>
      <protection hidden="1"/>
    </xf>
    <xf numFmtId="0" fontId="106" fillId="0" borderId="18" xfId="0" applyFont="1" applyBorder="1" applyAlignment="1" applyProtection="1">
      <alignment horizontal="left" vertical="center"/>
      <protection hidden="1"/>
    </xf>
    <xf numFmtId="0" fontId="10" fillId="11" borderId="105" xfId="0" applyFont="1" applyFill="1" applyBorder="1" applyAlignment="1" applyProtection="1">
      <alignment horizontal="left" vertical="center" wrapText="1"/>
      <protection hidden="1"/>
    </xf>
    <xf numFmtId="0" fontId="10" fillId="11" borderId="125" xfId="0" applyFont="1" applyFill="1" applyBorder="1" applyAlignment="1" applyProtection="1">
      <alignment horizontal="left" vertical="center" wrapText="1"/>
      <protection hidden="1"/>
    </xf>
    <xf numFmtId="0" fontId="10" fillId="11" borderId="8" xfId="0" applyFont="1" applyFill="1" applyBorder="1" applyAlignment="1" applyProtection="1">
      <alignment horizontal="left" vertical="center" wrapText="1"/>
      <protection hidden="1"/>
    </xf>
    <xf numFmtId="0" fontId="10" fillId="11" borderId="23" xfId="0" applyFont="1" applyFill="1" applyBorder="1" applyAlignment="1" applyProtection="1">
      <alignment horizontal="left" vertical="center" wrapText="1"/>
      <protection hidden="1"/>
    </xf>
    <xf numFmtId="0" fontId="10" fillId="11" borderId="43" xfId="0" applyFont="1" applyFill="1" applyBorder="1" applyAlignment="1" applyProtection="1">
      <alignment horizontal="left" vertical="center" wrapText="1"/>
      <protection hidden="1"/>
    </xf>
    <xf numFmtId="0" fontId="10" fillId="11" borderId="3" xfId="0" applyFont="1" applyFill="1" applyBorder="1" applyAlignment="1" applyProtection="1">
      <alignment horizontal="left" vertical="center" wrapText="1"/>
      <protection hidden="1"/>
    </xf>
    <xf numFmtId="0" fontId="10" fillId="11" borderId="4" xfId="0" applyFont="1" applyFill="1" applyBorder="1" applyAlignment="1" applyProtection="1">
      <alignment horizontal="left" vertical="center" wrapText="1"/>
      <protection hidden="1"/>
    </xf>
    <xf numFmtId="0" fontId="10" fillId="11" borderId="46" xfId="0" applyFont="1" applyFill="1" applyBorder="1" applyAlignment="1" applyProtection="1">
      <alignment horizontal="left" vertical="center" wrapText="1"/>
      <protection hidden="1"/>
    </xf>
    <xf numFmtId="0" fontId="10" fillId="11" borderId="16" xfId="0" applyFont="1" applyFill="1" applyBorder="1" applyAlignment="1" applyProtection="1">
      <alignment horizontal="left" vertical="center" wrapText="1"/>
      <protection hidden="1"/>
    </xf>
    <xf numFmtId="0" fontId="10" fillId="11" borderId="18" xfId="0" applyFont="1" applyFill="1" applyBorder="1" applyAlignment="1" applyProtection="1">
      <alignment horizontal="left" vertical="center" wrapText="1"/>
      <protection hidden="1"/>
    </xf>
    <xf numFmtId="0" fontId="14" fillId="3" borderId="140" xfId="0" applyFont="1" applyFill="1" applyBorder="1" applyAlignment="1" applyProtection="1">
      <alignment vertical="center" wrapText="1"/>
      <protection hidden="1"/>
    </xf>
    <xf numFmtId="0" fontId="14" fillId="3" borderId="175" xfId="0" applyFont="1" applyFill="1" applyBorder="1" applyAlignment="1" applyProtection="1">
      <alignment vertical="center" wrapText="1"/>
      <protection hidden="1"/>
    </xf>
    <xf numFmtId="0" fontId="14" fillId="3" borderId="190" xfId="0" applyFont="1" applyFill="1" applyBorder="1" applyAlignment="1" applyProtection="1">
      <alignment horizontal="center" vertical="center" wrapText="1"/>
      <protection hidden="1"/>
    </xf>
    <xf numFmtId="0" fontId="42" fillId="4" borderId="12" xfId="0" applyNumberFormat="1" applyFont="1" applyFill="1" applyBorder="1" applyAlignment="1" applyProtection="1">
      <alignment horizontal="center" vertical="center" wrapText="1"/>
      <protection hidden="1"/>
    </xf>
    <xf numFmtId="0" fontId="2" fillId="5" borderId="24" xfId="0" applyFont="1" applyFill="1" applyBorder="1" applyAlignment="1" applyProtection="1">
      <alignment vertical="center" wrapText="1"/>
      <protection hidden="1"/>
    </xf>
    <xf numFmtId="0" fontId="10" fillId="0" borderId="148" xfId="0" applyFont="1" applyBorder="1" applyAlignment="1" applyProtection="1">
      <alignment horizontal="center" vertical="center" wrapText="1"/>
      <protection hidden="1"/>
    </xf>
    <xf numFmtId="0" fontId="10" fillId="0" borderId="58" xfId="0" applyFont="1" applyBorder="1" applyAlignment="1" applyProtection="1">
      <alignment horizontal="center" vertical="center" wrapText="1"/>
      <protection hidden="1"/>
    </xf>
    <xf numFmtId="0" fontId="10" fillId="0" borderId="47" xfId="0" applyFont="1" applyBorder="1" applyAlignment="1" applyProtection="1">
      <alignment horizontal="center" vertical="center" wrapText="1"/>
      <protection hidden="1"/>
    </xf>
    <xf numFmtId="0" fontId="10" fillId="5" borderId="23" xfId="0" applyFont="1" applyFill="1" applyBorder="1" applyAlignment="1" applyProtection="1">
      <alignment horizontal="center" vertical="center" wrapText="1"/>
      <protection hidden="1"/>
    </xf>
    <xf numFmtId="0" fontId="6" fillId="0" borderId="81" xfId="0" applyFont="1" applyFill="1" applyBorder="1" applyAlignment="1" applyProtection="1">
      <alignment horizontal="center" vertical="center" wrapText="1"/>
      <protection locked="0"/>
    </xf>
    <xf numFmtId="0" fontId="6" fillId="0" borderId="1" xfId="0" applyFont="1" applyFill="1" applyBorder="1" applyAlignment="1" applyProtection="1">
      <alignment horizontal="center" vertical="center" wrapText="1"/>
      <protection locked="0"/>
    </xf>
    <xf numFmtId="0" fontId="6" fillId="0" borderId="81"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0" fillId="5" borderId="45" xfId="0" applyFont="1" applyFill="1" applyBorder="1" applyAlignment="1" applyProtection="1">
      <alignment horizontal="center" vertical="center" wrapText="1"/>
      <protection hidden="1"/>
    </xf>
    <xf numFmtId="0" fontId="10" fillId="5" borderId="45" xfId="0" applyNumberFormat="1" applyFont="1" applyFill="1" applyBorder="1" applyAlignment="1" applyProtection="1">
      <alignment horizontal="center" vertical="center" wrapText="1"/>
      <protection hidden="1"/>
    </xf>
    <xf numFmtId="0" fontId="10" fillId="5" borderId="11" xfId="0" applyNumberFormat="1" applyFont="1" applyFill="1" applyBorder="1" applyAlignment="1" applyProtection="1">
      <alignment horizontal="center" vertical="center" wrapText="1"/>
      <protection hidden="1"/>
    </xf>
    <xf numFmtId="0" fontId="10" fillId="0" borderId="195" xfId="0" applyFont="1" applyFill="1" applyBorder="1" applyAlignment="1" applyProtection="1">
      <alignment vertical="center" wrapText="1"/>
      <protection hidden="1"/>
    </xf>
    <xf numFmtId="0" fontId="10" fillId="0" borderId="123" xfId="0" applyFont="1" applyFill="1" applyBorder="1" applyAlignment="1" applyProtection="1">
      <alignment vertical="center" wrapText="1"/>
      <protection hidden="1"/>
    </xf>
    <xf numFmtId="0" fontId="10" fillId="0" borderId="196" xfId="0" applyFont="1" applyFill="1" applyBorder="1" applyAlignment="1" applyProtection="1">
      <alignment vertical="center" wrapText="1"/>
      <protection hidden="1"/>
    </xf>
    <xf numFmtId="0" fontId="10" fillId="0" borderId="148" xfId="0" applyNumberFormat="1" applyFont="1" applyBorder="1" applyAlignment="1" applyProtection="1">
      <alignment horizontal="center" vertical="center" wrapText="1"/>
      <protection hidden="1"/>
    </xf>
    <xf numFmtId="0" fontId="10" fillId="0" borderId="160" xfId="0" applyNumberFormat="1" applyFont="1" applyBorder="1" applyAlignment="1" applyProtection="1">
      <alignment horizontal="center" vertical="center" wrapText="1"/>
      <protection hidden="1"/>
    </xf>
    <xf numFmtId="0" fontId="10" fillId="0" borderId="58" xfId="0" applyNumberFormat="1" applyFont="1" applyBorder="1" applyAlignment="1" applyProtection="1">
      <alignment horizontal="center" vertical="center" wrapText="1"/>
      <protection hidden="1"/>
    </xf>
    <xf numFmtId="0" fontId="10" fillId="0" borderId="50" xfId="0" applyNumberFormat="1" applyFont="1" applyBorder="1" applyAlignment="1" applyProtection="1">
      <alignment horizontal="center" vertical="center" wrapText="1"/>
      <protection hidden="1"/>
    </xf>
    <xf numFmtId="0" fontId="10" fillId="0" borderId="47" xfId="0" applyNumberFormat="1" applyFont="1" applyBorder="1" applyAlignment="1" applyProtection="1">
      <alignment horizontal="center" vertical="center" wrapText="1"/>
      <protection hidden="1"/>
    </xf>
    <xf numFmtId="0" fontId="10" fillId="0" borderId="25" xfId="0" applyNumberFormat="1" applyFont="1" applyBorder="1" applyAlignment="1" applyProtection="1">
      <alignment horizontal="center" vertical="center" wrapText="1"/>
      <protection hidden="1"/>
    </xf>
    <xf numFmtId="0" fontId="10" fillId="5" borderId="186" xfId="0" applyNumberFormat="1" applyFont="1" applyFill="1" applyBorder="1" applyAlignment="1" applyProtection="1">
      <alignment horizontal="center" vertical="center" wrapText="1"/>
      <protection hidden="1"/>
    </xf>
    <xf numFmtId="0" fontId="6" fillId="0" borderId="45" xfId="0" applyNumberFormat="1" applyFont="1" applyFill="1" applyBorder="1" applyAlignment="1" applyProtection="1">
      <alignment horizontal="center" vertical="center" wrapText="1"/>
      <protection hidden="1"/>
    </xf>
    <xf numFmtId="0" fontId="6" fillId="0" borderId="11" xfId="0" applyNumberFormat="1" applyFont="1" applyFill="1" applyBorder="1" applyAlignment="1" applyProtection="1">
      <alignment horizontal="center" vertical="center" wrapText="1"/>
      <protection hidden="1"/>
    </xf>
    <xf numFmtId="0" fontId="6" fillId="0" borderId="61" xfId="0" applyNumberFormat="1" applyFont="1" applyFill="1" applyBorder="1" applyAlignment="1" applyProtection="1">
      <alignment horizontal="center" vertical="center" wrapText="1"/>
      <protection hidden="1"/>
    </xf>
    <xf numFmtId="0" fontId="6" fillId="0" borderId="12" xfId="0" applyNumberFormat="1" applyFont="1" applyFill="1" applyBorder="1" applyAlignment="1" applyProtection="1">
      <alignment horizontal="center" vertical="center" wrapText="1"/>
      <protection hidden="1"/>
    </xf>
    <xf numFmtId="0" fontId="10" fillId="0" borderId="157" xfId="0" applyFont="1" applyFill="1" applyBorder="1" applyAlignment="1" applyProtection="1">
      <alignment horizontal="center" vertical="center" wrapText="1"/>
      <protection hidden="1"/>
    </xf>
    <xf numFmtId="0" fontId="10" fillId="0" borderId="52" xfId="0" applyFont="1" applyFill="1" applyBorder="1" applyAlignment="1" applyProtection="1">
      <alignment horizontal="center" vertical="center" wrapText="1"/>
      <protection hidden="1"/>
    </xf>
    <xf numFmtId="0" fontId="10" fillId="0" borderId="54" xfId="0" applyFont="1" applyFill="1" applyBorder="1" applyAlignment="1" applyProtection="1">
      <alignment horizontal="center" vertical="center" wrapText="1"/>
      <protection hidden="1"/>
    </xf>
    <xf numFmtId="0" fontId="10" fillId="0" borderId="35" xfId="0" applyFont="1" applyFill="1" applyBorder="1" applyAlignment="1" applyProtection="1">
      <alignment horizontal="center" vertical="center" wrapText="1"/>
      <protection hidden="1"/>
    </xf>
    <xf numFmtId="164" fontId="104" fillId="0" borderId="10" xfId="0" applyNumberFormat="1" applyFont="1" applyFill="1" applyBorder="1" applyAlignment="1" applyProtection="1">
      <alignment horizontal="center" vertical="center" wrapText="1"/>
      <protection locked="0"/>
    </xf>
    <xf numFmtId="164" fontId="104" fillId="0" borderId="34" xfId="0" applyNumberFormat="1" applyFont="1" applyFill="1" applyBorder="1" applyAlignment="1" applyProtection="1">
      <alignment horizontal="center" vertical="center" wrapText="1"/>
      <protection locked="0"/>
    </xf>
    <xf numFmtId="1" fontId="104" fillId="0" borderId="10" xfId="0" applyNumberFormat="1" applyFont="1" applyFill="1" applyBorder="1" applyAlignment="1" applyProtection="1">
      <alignment horizontal="center" vertical="center" wrapText="1"/>
      <protection locked="0"/>
    </xf>
    <xf numFmtId="1" fontId="104" fillId="0" borderId="34" xfId="0" applyNumberFormat="1" applyFont="1" applyFill="1" applyBorder="1" applyAlignment="1" applyProtection="1">
      <alignment horizontal="center" vertical="center" wrapText="1"/>
      <protection locked="0"/>
    </xf>
    <xf numFmtId="0" fontId="6" fillId="0" borderId="14" xfId="0" applyFont="1" applyFill="1" applyBorder="1" applyAlignment="1" applyProtection="1">
      <alignment horizontal="center" vertical="center" wrapText="1"/>
      <protection locked="0"/>
    </xf>
    <xf numFmtId="0" fontId="6" fillId="0" borderId="32" xfId="0" applyFont="1" applyFill="1" applyBorder="1" applyAlignment="1" applyProtection="1">
      <alignment horizontal="center" vertical="center" wrapText="1"/>
      <protection locked="0"/>
    </xf>
    <xf numFmtId="0" fontId="83" fillId="0" borderId="43" xfId="0" applyNumberFormat="1" applyFont="1" applyBorder="1" applyAlignment="1" applyProtection="1">
      <alignment horizontal="center" vertical="center" wrapText="1"/>
      <protection hidden="1"/>
    </xf>
    <xf numFmtId="0" fontId="83" fillId="0" borderId="38" xfId="0" applyNumberFormat="1" applyFont="1" applyBorder="1" applyAlignment="1" applyProtection="1">
      <alignment horizontal="center" vertical="center" wrapText="1"/>
      <protection hidden="1"/>
    </xf>
    <xf numFmtId="0" fontId="10" fillId="5" borderId="181" xfId="0" applyNumberFormat="1" applyFont="1" applyFill="1" applyBorder="1" applyAlignment="1" applyProtection="1">
      <alignment horizontal="center" wrapText="1"/>
      <protection hidden="1"/>
    </xf>
    <xf numFmtId="0" fontId="10" fillId="5" borderId="182" xfId="0" applyNumberFormat="1" applyFont="1" applyFill="1" applyBorder="1" applyAlignment="1" applyProtection="1">
      <alignment horizontal="center" wrapText="1"/>
      <protection hidden="1"/>
    </xf>
    <xf numFmtId="0" fontId="10" fillId="5" borderId="113" xfId="0" applyNumberFormat="1" applyFont="1" applyFill="1" applyBorder="1" applyAlignment="1" applyProtection="1">
      <alignment horizontal="center" wrapText="1"/>
      <protection hidden="1"/>
    </xf>
    <xf numFmtId="0" fontId="84" fillId="0" borderId="9" xfId="0" applyNumberFormat="1" applyFont="1" applyBorder="1" applyAlignment="1" applyProtection="1">
      <alignment horizontal="center" vertical="center" wrapText="1"/>
      <protection locked="0"/>
    </xf>
    <xf numFmtId="0" fontId="84" fillId="0" borderId="33" xfId="0" applyNumberFormat="1" applyFont="1" applyBorder="1" applyAlignment="1" applyProtection="1">
      <alignment horizontal="center" vertical="center" wrapText="1"/>
      <protection locked="0"/>
    </xf>
    <xf numFmtId="0" fontId="2" fillId="5" borderId="22" xfId="0" applyFont="1" applyFill="1" applyBorder="1" applyAlignment="1" applyProtection="1">
      <alignment vertical="center" wrapText="1"/>
      <protection hidden="1"/>
    </xf>
    <xf numFmtId="0" fontId="10" fillId="0" borderId="19" xfId="0" applyFont="1" applyFill="1" applyBorder="1" applyAlignment="1" applyProtection="1">
      <alignment vertical="center" wrapText="1"/>
      <protection hidden="1"/>
    </xf>
    <xf numFmtId="0" fontId="10" fillId="0" borderId="31" xfId="0" applyFont="1" applyFill="1" applyBorder="1" applyAlignment="1" applyProtection="1">
      <alignment vertical="center" wrapText="1"/>
      <protection hidden="1"/>
    </xf>
    <xf numFmtId="0" fontId="10" fillId="0" borderId="21" xfId="0" applyFont="1" applyFill="1" applyBorder="1" applyAlignment="1" applyProtection="1">
      <alignment vertical="center" wrapText="1"/>
      <protection hidden="1"/>
    </xf>
    <xf numFmtId="0" fontId="10" fillId="0" borderId="103" xfId="0" applyFont="1" applyFill="1" applyBorder="1" applyAlignment="1" applyProtection="1">
      <alignment vertical="center" wrapText="1"/>
      <protection hidden="1"/>
    </xf>
    <xf numFmtId="0" fontId="10" fillId="0" borderId="8" xfId="0" applyFont="1" applyFill="1" applyBorder="1" applyAlignment="1" applyProtection="1">
      <alignment vertical="center" wrapText="1"/>
      <protection hidden="1"/>
    </xf>
    <xf numFmtId="0" fontId="10" fillId="0" borderId="11" xfId="0" applyFont="1" applyFill="1" applyBorder="1" applyAlignment="1" applyProtection="1">
      <alignment vertical="center" wrapText="1"/>
      <protection hidden="1"/>
    </xf>
    <xf numFmtId="0" fontId="15" fillId="5" borderId="112" xfId="0" applyFont="1" applyFill="1" applyBorder="1" applyAlignment="1" applyProtection="1">
      <alignment vertical="center" wrapText="1"/>
      <protection hidden="1"/>
    </xf>
    <xf numFmtId="0" fontId="17" fillId="5" borderId="25" xfId="0" applyNumberFormat="1" applyFont="1" applyFill="1" applyBorder="1" applyAlignment="1" applyProtection="1">
      <alignment horizontal="center" vertical="center" wrapText="1"/>
      <protection hidden="1"/>
    </xf>
    <xf numFmtId="0" fontId="2" fillId="3" borderId="173" xfId="0" applyFont="1" applyFill="1" applyBorder="1" applyAlignment="1" applyProtection="1">
      <alignment horizontal="center" vertical="center" wrapText="1"/>
      <protection hidden="1"/>
    </xf>
    <xf numFmtId="0" fontId="2" fillId="3" borderId="140" xfId="0" applyFont="1" applyFill="1" applyBorder="1" applyAlignment="1" applyProtection="1">
      <alignment horizontal="center" vertical="center" wrapText="1"/>
      <protection hidden="1"/>
    </xf>
    <xf numFmtId="0" fontId="17" fillId="0" borderId="82" xfId="0" applyFont="1" applyFill="1" applyBorder="1" applyAlignment="1" applyProtection="1">
      <alignment vertical="center" wrapText="1"/>
      <protection hidden="1"/>
    </xf>
    <xf numFmtId="0" fontId="17" fillId="0" borderId="7" xfId="0" applyFont="1" applyFill="1" applyBorder="1" applyAlignment="1" applyProtection="1">
      <alignment vertical="center" wrapText="1"/>
      <protection hidden="1"/>
    </xf>
    <xf numFmtId="0" fontId="104" fillId="0" borderId="61" xfId="0" applyFont="1" applyFill="1" applyBorder="1" applyAlignment="1" applyProtection="1">
      <alignment horizontal="center" vertical="center" wrapText="1"/>
      <protection locked="0"/>
    </xf>
    <xf numFmtId="0" fontId="104" fillId="0" borderId="12" xfId="0" applyFont="1" applyFill="1" applyBorder="1" applyAlignment="1" applyProtection="1">
      <alignment horizontal="center" vertical="center" wrapText="1"/>
      <protection locked="0"/>
    </xf>
    <xf numFmtId="0" fontId="17" fillId="0" borderId="153" xfId="0" applyFont="1" applyBorder="1" applyAlignment="1" applyProtection="1">
      <alignment horizontal="center" vertical="center" wrapText="1"/>
      <protection hidden="1"/>
    </xf>
    <xf numFmtId="0" fontId="17" fillId="0" borderId="160" xfId="0" applyFont="1" applyBorder="1" applyAlignment="1" applyProtection="1">
      <alignment horizontal="center" vertical="center" wrapText="1"/>
      <protection hidden="1"/>
    </xf>
    <xf numFmtId="0" fontId="17" fillId="0" borderId="52" xfId="0" applyFont="1" applyBorder="1" applyAlignment="1" applyProtection="1">
      <alignment horizontal="center" vertical="center" wrapText="1"/>
      <protection hidden="1"/>
    </xf>
    <xf numFmtId="0" fontId="17" fillId="0" borderId="50" xfId="0" applyFont="1" applyBorder="1" applyAlignment="1" applyProtection="1">
      <alignment horizontal="center" vertical="center" wrapText="1"/>
      <protection hidden="1"/>
    </xf>
    <xf numFmtId="0" fontId="17" fillId="0" borderId="27" xfId="0" applyFont="1" applyBorder="1" applyAlignment="1" applyProtection="1">
      <alignment horizontal="center" vertical="center" wrapText="1"/>
      <protection hidden="1"/>
    </xf>
    <xf numFmtId="0" fontId="17" fillId="0" borderId="25" xfId="0" applyFont="1" applyBorder="1" applyAlignment="1" applyProtection="1">
      <alignment horizontal="center" vertical="center" wrapText="1"/>
      <protection hidden="1"/>
    </xf>
    <xf numFmtId="0" fontId="6" fillId="0" borderId="61" xfId="0" applyFont="1" applyBorder="1" applyAlignment="1" applyProtection="1">
      <alignment horizontal="center" vertical="center" wrapText="1"/>
      <protection locked="0"/>
    </xf>
    <xf numFmtId="0" fontId="17" fillId="5" borderId="185" xfId="0" applyFont="1" applyFill="1" applyBorder="1" applyAlignment="1" applyProtection="1">
      <alignment horizontal="center" vertical="center" wrapText="1"/>
      <protection hidden="1"/>
    </xf>
    <xf numFmtId="0" fontId="17" fillId="5" borderId="186" xfId="0" applyFont="1" applyFill="1" applyBorder="1" applyAlignment="1" applyProtection="1">
      <alignment horizontal="center" vertical="center" wrapText="1"/>
      <protection hidden="1"/>
    </xf>
    <xf numFmtId="0" fontId="88" fillId="5" borderId="185" xfId="0" applyFont="1" applyFill="1" applyBorder="1" applyAlignment="1" applyProtection="1">
      <alignment horizontal="center" vertical="center" wrapText="1"/>
      <protection hidden="1"/>
    </xf>
    <xf numFmtId="0" fontId="88" fillId="5" borderId="186" xfId="0" applyFont="1" applyFill="1" applyBorder="1" applyAlignment="1" applyProtection="1">
      <alignment horizontal="center" vertical="center" wrapText="1"/>
      <protection hidden="1"/>
    </xf>
    <xf numFmtId="0" fontId="10" fillId="5" borderId="46" xfId="0" applyFont="1" applyFill="1" applyBorder="1" applyAlignment="1" applyProtection="1">
      <alignment horizontal="center" vertical="center"/>
      <protection hidden="1"/>
    </xf>
    <xf numFmtId="0" fontId="10" fillId="5" borderId="32" xfId="0" applyFont="1" applyFill="1" applyBorder="1" applyAlignment="1" applyProtection="1">
      <alignment horizontal="center" vertical="center"/>
      <protection hidden="1"/>
    </xf>
    <xf numFmtId="0" fontId="6" fillId="0" borderId="5" xfId="0" applyFont="1" applyBorder="1" applyAlignment="1" applyProtection="1">
      <alignment horizontal="center" vertical="center" wrapText="1"/>
      <protection locked="0"/>
    </xf>
    <xf numFmtId="0" fontId="17" fillId="0" borderId="105" xfId="0" applyFont="1" applyFill="1" applyBorder="1" applyAlignment="1" applyProtection="1">
      <alignment vertical="center"/>
      <protection hidden="1"/>
    </xf>
    <xf numFmtId="0" fontId="17" fillId="0" borderId="46" xfId="0" applyFont="1" applyFill="1" applyBorder="1" applyAlignment="1" applyProtection="1">
      <alignment vertical="center"/>
      <protection hidden="1"/>
    </xf>
    <xf numFmtId="0" fontId="104" fillId="0" borderId="45" xfId="0" applyFont="1" applyBorder="1" applyAlignment="1" applyProtection="1">
      <alignment horizontal="center" vertical="center"/>
      <protection locked="0"/>
    </xf>
    <xf numFmtId="0" fontId="104" fillId="0" borderId="11" xfId="0" applyFont="1" applyBorder="1" applyAlignment="1" applyProtection="1">
      <alignment horizontal="center" vertical="center"/>
      <protection locked="0"/>
    </xf>
    <xf numFmtId="0" fontId="10" fillId="0" borderId="12" xfId="0" applyFont="1" applyFill="1" applyBorder="1" applyAlignment="1" applyProtection="1">
      <alignment horizontal="center" vertical="center" wrapText="1"/>
      <protection hidden="1"/>
    </xf>
    <xf numFmtId="0" fontId="10" fillId="0" borderId="135" xfId="0" applyFont="1" applyFill="1" applyBorder="1" applyAlignment="1" applyProtection="1">
      <alignment horizontal="center" vertical="center" wrapText="1"/>
      <protection hidden="1"/>
    </xf>
    <xf numFmtId="0" fontId="10" fillId="0" borderId="60" xfId="0" applyFont="1" applyFill="1" applyBorder="1" applyAlignment="1" applyProtection="1">
      <alignment horizontal="center" vertical="center" wrapText="1"/>
      <protection hidden="1"/>
    </xf>
    <xf numFmtId="0" fontId="113" fillId="9" borderId="61" xfId="0" applyFont="1" applyFill="1" applyBorder="1" applyAlignment="1" applyProtection="1">
      <alignment horizontal="center" vertical="center"/>
      <protection locked="0"/>
    </xf>
    <xf numFmtId="0" fontId="113" fillId="9" borderId="12" xfId="0" applyFont="1" applyFill="1" applyBorder="1" applyAlignment="1" applyProtection="1">
      <alignment horizontal="center" vertical="center"/>
      <protection locked="0"/>
    </xf>
    <xf numFmtId="0" fontId="104" fillId="0" borderId="61" xfId="0" applyFont="1" applyBorder="1" applyAlignment="1" applyProtection="1">
      <alignment horizontal="center" vertical="center" wrapText="1"/>
      <protection locked="0"/>
    </xf>
    <xf numFmtId="0" fontId="104" fillId="0" borderId="12" xfId="0" applyFont="1" applyBorder="1" applyAlignment="1" applyProtection="1">
      <alignment horizontal="center" vertical="center" wrapText="1"/>
      <protection locked="0"/>
    </xf>
    <xf numFmtId="0" fontId="17" fillId="0" borderId="105" xfId="0" applyFont="1" applyFill="1" applyBorder="1" applyAlignment="1" applyProtection="1">
      <alignment vertical="center" wrapText="1"/>
      <protection hidden="1"/>
    </xf>
    <xf numFmtId="0" fontId="17" fillId="0" borderId="47" xfId="0" applyFont="1" applyFill="1" applyBorder="1" applyAlignment="1" applyProtection="1">
      <alignment vertical="center" wrapText="1"/>
      <protection hidden="1"/>
    </xf>
    <xf numFmtId="0" fontId="104" fillId="0" borderId="9" xfId="0" applyFont="1" applyBorder="1" applyAlignment="1" applyProtection="1">
      <alignment horizontal="center" vertical="center"/>
      <protection locked="0"/>
    </xf>
    <xf numFmtId="0" fontId="104" fillId="0" borderId="8" xfId="0" applyFont="1" applyBorder="1" applyAlignment="1" applyProtection="1">
      <alignment horizontal="center" vertical="center"/>
      <protection locked="0"/>
    </xf>
    <xf numFmtId="0" fontId="104" fillId="0" borderId="23" xfId="0" applyFont="1" applyBorder="1" applyAlignment="1" applyProtection="1">
      <alignment horizontal="center" vertical="center"/>
      <protection locked="0"/>
    </xf>
    <xf numFmtId="0" fontId="10" fillId="0" borderId="137" xfId="0" applyFont="1" applyBorder="1" applyAlignment="1" applyProtection="1">
      <alignment horizontal="left" vertical="center" wrapText="1"/>
      <protection hidden="1"/>
    </xf>
    <xf numFmtId="0" fontId="10" fillId="0" borderId="144" xfId="0" applyFont="1" applyBorder="1" applyAlignment="1" applyProtection="1">
      <alignment horizontal="left" vertical="center" wrapText="1"/>
      <protection hidden="1"/>
    </xf>
    <xf numFmtId="0" fontId="65" fillId="0" borderId="70" xfId="0" applyFont="1" applyFill="1" applyBorder="1" applyAlignment="1" applyProtection="1">
      <alignment horizontal="left" vertical="center" wrapText="1"/>
      <protection hidden="1"/>
    </xf>
    <xf numFmtId="0" fontId="65" fillId="0" borderId="125" xfId="0" applyFont="1" applyFill="1" applyBorder="1" applyAlignment="1" applyProtection="1">
      <alignment horizontal="left" vertical="center" wrapText="1"/>
      <protection hidden="1"/>
    </xf>
    <xf numFmtId="0" fontId="65" fillId="0" borderId="132" xfId="0" applyFont="1" applyFill="1" applyBorder="1" applyAlignment="1" applyProtection="1">
      <alignment horizontal="left" vertical="center" wrapText="1"/>
      <protection hidden="1"/>
    </xf>
    <xf numFmtId="0" fontId="65" fillId="0" borderId="14" xfId="0" applyFont="1" applyFill="1" applyBorder="1" applyAlignment="1" applyProtection="1">
      <alignment horizontal="left" vertical="center" wrapText="1"/>
      <protection hidden="1"/>
    </xf>
    <xf numFmtId="0" fontId="65" fillId="0" borderId="16" xfId="0" applyFont="1" applyFill="1" applyBorder="1" applyAlignment="1" applyProtection="1">
      <alignment horizontal="left" vertical="center" wrapText="1"/>
      <protection hidden="1"/>
    </xf>
    <xf numFmtId="0" fontId="65" fillId="0" borderId="32" xfId="0" applyFont="1" applyFill="1" applyBorder="1" applyAlignment="1" applyProtection="1">
      <alignment horizontal="left" vertical="center" wrapText="1"/>
      <protection hidden="1"/>
    </xf>
    <xf numFmtId="0" fontId="10" fillId="6" borderId="49" xfId="0" applyFont="1" applyFill="1" applyBorder="1" applyAlignment="1" applyProtection="1">
      <alignment vertical="center" wrapText="1"/>
      <protection hidden="1"/>
    </xf>
    <xf numFmtId="0" fontId="10" fillId="6" borderId="0" xfId="0" applyFont="1" applyFill="1" applyBorder="1" applyAlignment="1" applyProtection="1">
      <alignment vertical="center" wrapText="1"/>
      <protection hidden="1"/>
    </xf>
    <xf numFmtId="0" fontId="10" fillId="6" borderId="24" xfId="0" applyFont="1" applyFill="1" applyBorder="1" applyAlignment="1" applyProtection="1">
      <alignment vertical="center" wrapText="1"/>
      <protection hidden="1"/>
    </xf>
    <xf numFmtId="49" fontId="10" fillId="2" borderId="45" xfId="0" applyNumberFormat="1" applyFont="1" applyFill="1" applyBorder="1" applyAlignment="1" applyProtection="1">
      <alignment horizontal="center"/>
      <protection hidden="1"/>
    </xf>
    <xf numFmtId="49" fontId="10" fillId="2" borderId="11" xfId="0" applyNumberFormat="1" applyFont="1" applyFill="1" applyBorder="1" applyAlignment="1" applyProtection="1">
      <alignment horizontal="center"/>
      <protection hidden="1"/>
    </xf>
    <xf numFmtId="49" fontId="10" fillId="2" borderId="16" xfId="0" applyNumberFormat="1" applyFont="1" applyFill="1" applyBorder="1" applyAlignment="1" applyProtection="1">
      <alignment horizontal="center"/>
      <protection hidden="1"/>
    </xf>
    <xf numFmtId="49" fontId="10" fillId="2" borderId="18" xfId="0" applyNumberFormat="1" applyFont="1" applyFill="1" applyBorder="1" applyAlignment="1" applyProtection="1">
      <alignment horizontal="center"/>
      <protection hidden="1"/>
    </xf>
    <xf numFmtId="49" fontId="23" fillId="6" borderId="0" xfId="0" applyNumberFormat="1" applyFont="1" applyFill="1" applyBorder="1" applyAlignment="1" applyProtection="1">
      <alignment horizontal="center" wrapText="1"/>
      <protection hidden="1"/>
    </xf>
    <xf numFmtId="49" fontId="50" fillId="6" borderId="28" xfId="0" applyNumberFormat="1" applyFont="1" applyFill="1" applyBorder="1" applyAlignment="1" applyProtection="1">
      <alignment horizontal="center" wrapText="1"/>
      <protection hidden="1"/>
    </xf>
    <xf numFmtId="49" fontId="50" fillId="6" borderId="24" xfId="0" applyNumberFormat="1" applyFont="1" applyFill="1" applyBorder="1" applyAlignment="1" applyProtection="1">
      <alignment horizontal="center" wrapText="1"/>
      <protection hidden="1"/>
    </xf>
    <xf numFmtId="49" fontId="50" fillId="6" borderId="22" xfId="0" applyNumberFormat="1" applyFont="1" applyFill="1" applyBorder="1" applyAlignment="1" applyProtection="1">
      <alignment horizontal="center" wrapText="1"/>
      <protection hidden="1"/>
    </xf>
    <xf numFmtId="0" fontId="2" fillId="6" borderId="148" xfId="0" applyFont="1" applyFill="1" applyBorder="1" applyAlignment="1" applyProtection="1">
      <alignment horizontal="center" vertical="center" wrapText="1"/>
      <protection hidden="1"/>
    </xf>
    <xf numFmtId="0" fontId="2" fillId="6" borderId="49" xfId="0" applyFont="1" applyFill="1" applyBorder="1" applyAlignment="1" applyProtection="1">
      <alignment horizontal="center" vertical="center" wrapText="1"/>
      <protection hidden="1"/>
    </xf>
    <xf numFmtId="0" fontId="2" fillId="6" borderId="102" xfId="0" applyFont="1" applyFill="1" applyBorder="1" applyAlignment="1" applyProtection="1">
      <alignment horizontal="center" vertical="center" wrapText="1"/>
      <protection hidden="1"/>
    </xf>
    <xf numFmtId="0" fontId="2" fillId="6" borderId="46" xfId="0" applyFont="1" applyFill="1" applyBorder="1" applyAlignment="1" applyProtection="1">
      <alignment horizontal="center" vertical="center" wrapText="1"/>
      <protection hidden="1"/>
    </xf>
    <xf numFmtId="0" fontId="2" fillId="6" borderId="16" xfId="0" applyFont="1" applyFill="1" applyBorder="1" applyAlignment="1" applyProtection="1">
      <alignment horizontal="center" vertical="center" wrapText="1"/>
      <protection hidden="1"/>
    </xf>
    <xf numFmtId="0" fontId="2" fillId="6" borderId="18" xfId="0" applyFont="1" applyFill="1" applyBorder="1" applyAlignment="1" applyProtection="1">
      <alignment horizontal="center" vertical="center" wrapText="1"/>
      <protection hidden="1"/>
    </xf>
    <xf numFmtId="0" fontId="17" fillId="0" borderId="157" xfId="0" applyFont="1" applyBorder="1" applyAlignment="1" applyProtection="1">
      <alignment horizontal="center" vertical="center" wrapText="1"/>
      <protection hidden="1"/>
    </xf>
    <xf numFmtId="0" fontId="17" fillId="0" borderId="54" xfId="0" applyFont="1" applyBorder="1" applyAlignment="1" applyProtection="1">
      <alignment horizontal="center" vertical="center" wrapText="1"/>
      <protection hidden="1"/>
    </xf>
    <xf numFmtId="0" fontId="17" fillId="0" borderId="35" xfId="0" applyFont="1" applyBorder="1" applyAlignment="1" applyProtection="1">
      <alignment horizontal="center" vertical="center" wrapText="1"/>
      <protection hidden="1"/>
    </xf>
    <xf numFmtId="0" fontId="6" fillId="0" borderId="10" xfId="0" applyNumberFormat="1" applyFont="1" applyBorder="1" applyAlignment="1" applyProtection="1">
      <alignment horizontal="center" vertical="center" wrapText="1"/>
      <protection hidden="1"/>
    </xf>
    <xf numFmtId="0" fontId="6" fillId="0" borderId="12" xfId="0" applyNumberFormat="1" applyFont="1" applyBorder="1" applyAlignment="1" applyProtection="1">
      <alignment horizontal="center" vertical="center" wrapText="1"/>
      <protection hidden="1"/>
    </xf>
    <xf numFmtId="0" fontId="23" fillId="5" borderId="7" xfId="0" applyFont="1" applyFill="1" applyBorder="1" applyAlignment="1" applyProtection="1">
      <alignment horizontal="center" vertical="center" wrapText="1"/>
      <protection hidden="1"/>
    </xf>
    <xf numFmtId="0" fontId="2" fillId="3" borderId="184" xfId="0" applyNumberFormat="1" applyFont="1" applyFill="1" applyBorder="1" applyAlignment="1" applyProtection="1">
      <alignment horizontal="center" vertical="center" wrapText="1"/>
      <protection hidden="1"/>
    </xf>
    <xf numFmtId="0" fontId="6" fillId="0" borderId="21" xfId="0" applyNumberFormat="1" applyFont="1" applyBorder="1" applyAlignment="1" applyProtection="1">
      <alignment horizontal="center" vertical="center" wrapText="1"/>
      <protection hidden="1"/>
    </xf>
    <xf numFmtId="0" fontId="65" fillId="5" borderId="166" xfId="0" applyNumberFormat="1" applyFont="1" applyFill="1" applyBorder="1" applyAlignment="1" applyProtection="1">
      <alignment horizontal="center" wrapText="1"/>
      <protection hidden="1"/>
    </xf>
    <xf numFmtId="0" fontId="65" fillId="5" borderId="124" xfId="0" applyNumberFormat="1" applyFont="1" applyFill="1" applyBorder="1" applyAlignment="1" applyProtection="1">
      <alignment horizontal="center" wrapText="1"/>
      <protection hidden="1"/>
    </xf>
    <xf numFmtId="0" fontId="6" fillId="0" borderId="19" xfId="0" applyNumberFormat="1" applyFont="1" applyBorder="1" applyAlignment="1" applyProtection="1">
      <alignment horizontal="center" vertical="center" wrapText="1"/>
      <protection hidden="1"/>
    </xf>
    <xf numFmtId="165" fontId="104" fillId="0" borderId="10" xfId="0" applyNumberFormat="1" applyFont="1" applyFill="1" applyBorder="1" applyAlignment="1" applyProtection="1">
      <alignment horizontal="center" vertical="center" wrapText="1"/>
      <protection locked="0"/>
    </xf>
    <xf numFmtId="165" fontId="104" fillId="0" borderId="34" xfId="0" applyNumberFormat="1" applyFont="1" applyFill="1" applyBorder="1" applyAlignment="1" applyProtection="1">
      <alignment horizontal="center" vertical="center" wrapText="1"/>
      <protection locked="0"/>
    </xf>
    <xf numFmtId="2" fontId="104" fillId="0" borderId="10" xfId="0" applyNumberFormat="1" applyFont="1" applyFill="1" applyBorder="1" applyAlignment="1" applyProtection="1">
      <alignment horizontal="center" vertical="center" wrapText="1"/>
      <protection locked="0"/>
    </xf>
    <xf numFmtId="2" fontId="104" fillId="0" borderId="34" xfId="0" applyNumberFormat="1" applyFont="1" applyFill="1" applyBorder="1" applyAlignment="1" applyProtection="1">
      <alignment horizontal="center" vertical="center" wrapText="1"/>
      <protection locked="0"/>
    </xf>
    <xf numFmtId="0" fontId="10" fillId="0" borderId="43" xfId="0" applyFont="1" applyFill="1" applyBorder="1" applyAlignment="1" applyProtection="1">
      <alignment vertical="center" wrapText="1"/>
      <protection hidden="1"/>
    </xf>
    <xf numFmtId="0" fontId="6" fillId="0" borderId="5" xfId="0" applyNumberFormat="1" applyFont="1" applyBorder="1" applyAlignment="1" applyProtection="1">
      <alignment horizontal="center" vertical="center" wrapText="1"/>
      <protection hidden="1"/>
    </xf>
    <xf numFmtId="0" fontId="6" fillId="0" borderId="43" xfId="0" applyNumberFormat="1" applyFont="1" applyFill="1" applyBorder="1" applyAlignment="1" applyProtection="1">
      <alignment horizontal="center" vertical="center" wrapText="1"/>
      <protection hidden="1"/>
    </xf>
    <xf numFmtId="0" fontId="6" fillId="0" borderId="3" xfId="0" applyNumberFormat="1" applyFont="1" applyBorder="1" applyAlignment="1" applyProtection="1">
      <alignment horizontal="center" vertical="center" wrapText="1"/>
      <protection hidden="1"/>
    </xf>
    <xf numFmtId="0" fontId="6" fillId="0" borderId="158" xfId="0" applyNumberFormat="1" applyFont="1" applyBorder="1" applyAlignment="1" applyProtection="1">
      <alignment horizontal="center" vertical="center" wrapText="1"/>
      <protection hidden="1"/>
    </xf>
    <xf numFmtId="0" fontId="10" fillId="0" borderId="5" xfId="0" applyFont="1" applyFill="1" applyBorder="1" applyAlignment="1" applyProtection="1">
      <alignment vertical="center" wrapText="1"/>
      <protection hidden="1"/>
    </xf>
    <xf numFmtId="0" fontId="6" fillId="0" borderId="43" xfId="0" applyFont="1" applyBorder="1" applyAlignment="1" applyProtection="1">
      <alignment horizontal="center" vertical="center" wrapText="1"/>
      <protection hidden="1"/>
    </xf>
    <xf numFmtId="0" fontId="6" fillId="0" borderId="19" xfId="0" applyFont="1" applyBorder="1" applyAlignment="1" applyProtection="1">
      <alignment horizontal="center" vertical="center" wrapText="1"/>
      <protection hidden="1"/>
    </xf>
    <xf numFmtId="0" fontId="17" fillId="0" borderId="81" xfId="0" applyFont="1" applyFill="1" applyBorder="1" applyAlignment="1" applyProtection="1">
      <alignment vertical="center" wrapText="1"/>
      <protection hidden="1"/>
    </xf>
    <xf numFmtId="0" fontId="17" fillId="0" borderId="1" xfId="0" applyFont="1" applyFill="1" applyBorder="1" applyAlignment="1" applyProtection="1">
      <alignment vertical="center" wrapText="1"/>
      <protection hidden="1"/>
    </xf>
    <xf numFmtId="0" fontId="42" fillId="4" borderId="5" xfId="0" applyNumberFormat="1" applyFont="1" applyFill="1" applyBorder="1" applyAlignment="1" applyProtection="1">
      <alignment horizontal="center" vertical="center" wrapText="1"/>
      <protection hidden="1"/>
    </xf>
    <xf numFmtId="167" fontId="104" fillId="0" borderId="21" xfId="0" applyNumberFormat="1" applyFont="1" applyFill="1" applyBorder="1" applyAlignment="1" applyProtection="1">
      <alignment horizontal="center" vertical="center" wrapText="1"/>
      <protection locked="0"/>
    </xf>
    <xf numFmtId="167" fontId="104" fillId="0" borderId="38" xfId="0" applyNumberFormat="1" applyFont="1" applyFill="1" applyBorder="1" applyAlignment="1" applyProtection="1">
      <alignment horizontal="center" vertical="center" wrapText="1"/>
      <protection locked="0"/>
    </xf>
    <xf numFmtId="0" fontId="88" fillId="5" borderId="182" xfId="0" applyFont="1" applyFill="1" applyBorder="1" applyAlignment="1" applyProtection="1">
      <alignment horizontal="center" vertical="center" wrapText="1"/>
      <protection hidden="1"/>
    </xf>
    <xf numFmtId="0" fontId="23" fillId="5" borderId="82" xfId="0" applyFont="1" applyFill="1" applyBorder="1" applyAlignment="1" applyProtection="1">
      <alignment horizontal="center" vertical="center" wrapText="1"/>
      <protection hidden="1"/>
    </xf>
    <xf numFmtId="0" fontId="2" fillId="3" borderId="173" xfId="0" applyNumberFormat="1" applyFont="1" applyFill="1" applyBorder="1" applyAlignment="1" applyProtection="1">
      <alignment horizontal="center" vertical="center" wrapText="1"/>
      <protection hidden="1"/>
    </xf>
    <xf numFmtId="0" fontId="47" fillId="3" borderId="140" xfId="0" applyFont="1" applyFill="1" applyBorder="1" applyAlignment="1" applyProtection="1">
      <alignment vertical="center" wrapText="1"/>
      <protection hidden="1"/>
    </xf>
    <xf numFmtId="0" fontId="47" fillId="3" borderId="175" xfId="0" applyFont="1" applyFill="1" applyBorder="1" applyAlignment="1" applyProtection="1">
      <alignment vertical="center" wrapText="1"/>
      <protection hidden="1"/>
    </xf>
    <xf numFmtId="0" fontId="10" fillId="0" borderId="3" xfId="0" applyFont="1" applyBorder="1" applyAlignment="1" applyProtection="1">
      <alignment vertical="center" wrapText="1"/>
      <protection hidden="1"/>
    </xf>
    <xf numFmtId="49" fontId="10" fillId="0" borderId="3" xfId="0" applyNumberFormat="1" applyFont="1" applyBorder="1" applyAlignment="1" applyProtection="1">
      <alignment horizontal="center" vertical="center" wrapText="1"/>
      <protection hidden="1"/>
    </xf>
    <xf numFmtId="49" fontId="10" fillId="0" borderId="4" xfId="0" applyNumberFormat="1" applyFont="1" applyBorder="1" applyAlignment="1" applyProtection="1">
      <alignment horizontal="center" vertical="center" wrapText="1"/>
      <protection hidden="1"/>
    </xf>
    <xf numFmtId="49" fontId="10" fillId="0" borderId="5" xfId="0" applyNumberFormat="1" applyFont="1" applyBorder="1" applyAlignment="1" applyProtection="1">
      <alignment horizontal="center" vertical="center" wrapText="1"/>
      <protection hidden="1"/>
    </xf>
    <xf numFmtId="49" fontId="10" fillId="0" borderId="13" xfId="0" applyNumberFormat="1" applyFont="1" applyBorder="1" applyAlignment="1" applyProtection="1">
      <alignment horizontal="center" vertical="center" wrapText="1"/>
      <protection hidden="1"/>
    </xf>
    <xf numFmtId="0" fontId="10" fillId="0" borderId="5" xfId="0" applyFont="1" applyBorder="1" applyAlignment="1" applyProtection="1">
      <alignment vertical="center" wrapText="1"/>
      <protection hidden="1"/>
    </xf>
    <xf numFmtId="0" fontId="10" fillId="0" borderId="74" xfId="0" applyFont="1" applyBorder="1" applyAlignment="1" applyProtection="1">
      <alignment vertical="center" wrapText="1"/>
      <protection hidden="1"/>
    </xf>
    <xf numFmtId="0" fontId="2" fillId="5" borderId="112" xfId="0" applyFont="1" applyFill="1" applyBorder="1" applyAlignment="1" applyProtection="1">
      <alignment vertical="center" wrapText="1"/>
      <protection hidden="1"/>
    </xf>
    <xf numFmtId="0" fontId="2" fillId="5" borderId="113" xfId="0" applyFont="1" applyFill="1" applyBorder="1" applyAlignment="1" applyProtection="1">
      <alignment vertical="center" wrapText="1"/>
      <protection hidden="1"/>
    </xf>
    <xf numFmtId="0" fontId="10" fillId="5" borderId="23" xfId="0" applyNumberFormat="1" applyFont="1" applyFill="1" applyBorder="1" applyAlignment="1" applyProtection="1">
      <alignment horizontal="center" vertical="center" wrapText="1"/>
      <protection hidden="1"/>
    </xf>
    <xf numFmtId="0" fontId="10" fillId="0" borderId="3" xfId="0" applyFont="1" applyFill="1" applyBorder="1" applyAlignment="1" applyProtection="1">
      <alignment vertical="center" wrapText="1"/>
      <protection hidden="1"/>
    </xf>
    <xf numFmtId="0" fontId="6" fillId="0" borderId="61" xfId="0" applyFont="1" applyBorder="1" applyAlignment="1" applyProtection="1">
      <alignment horizontal="center" vertical="center" wrapText="1"/>
      <protection hidden="1"/>
    </xf>
    <xf numFmtId="0" fontId="6" fillId="0" borderId="12" xfId="0" applyFont="1" applyBorder="1" applyAlignment="1" applyProtection="1">
      <alignment horizontal="center" vertical="center" wrapText="1"/>
      <protection hidden="1"/>
    </xf>
    <xf numFmtId="0" fontId="42" fillId="4" borderId="61" xfId="0" applyFont="1" applyFill="1" applyBorder="1" applyAlignment="1" applyProtection="1">
      <alignment horizontal="center" vertical="center" wrapText="1"/>
      <protection hidden="1"/>
    </xf>
    <xf numFmtId="0" fontId="42" fillId="4" borderId="12" xfId="0" applyFont="1" applyFill="1" applyBorder="1" applyAlignment="1" applyProtection="1">
      <alignment horizontal="center" vertical="center" wrapText="1"/>
      <protection hidden="1"/>
    </xf>
    <xf numFmtId="0" fontId="10" fillId="5" borderId="11" xfId="0" applyFont="1" applyFill="1" applyBorder="1" applyAlignment="1" applyProtection="1">
      <alignment horizontal="center" vertical="center" wrapText="1"/>
      <protection hidden="1"/>
    </xf>
    <xf numFmtId="49" fontId="10" fillId="0" borderId="89" xfId="0" applyNumberFormat="1" applyFont="1" applyBorder="1" applyAlignment="1" applyProtection="1">
      <alignment horizontal="center" vertical="center" wrapText="1"/>
      <protection hidden="1"/>
    </xf>
    <xf numFmtId="49" fontId="10" fillId="0" borderId="90" xfId="0" applyNumberFormat="1" applyFont="1" applyBorder="1" applyAlignment="1" applyProtection="1">
      <alignment horizontal="center" vertical="center" wrapText="1"/>
      <protection hidden="1"/>
    </xf>
    <xf numFmtId="0" fontId="17" fillId="5" borderId="181" xfId="0" applyFont="1" applyFill="1" applyBorder="1" applyAlignment="1" applyProtection="1">
      <alignment horizontal="center" vertical="center" wrapText="1"/>
      <protection hidden="1"/>
    </xf>
    <xf numFmtId="0" fontId="10" fillId="0" borderId="80" xfId="0" applyFont="1" applyBorder="1" applyAlignment="1" applyProtection="1">
      <alignment horizontal="center" vertical="center" wrapText="1"/>
      <protection hidden="1"/>
    </xf>
    <xf numFmtId="0" fontId="17" fillId="5" borderId="47" xfId="0" applyFont="1" applyFill="1" applyBorder="1" applyAlignment="1" applyProtection="1">
      <alignment horizontal="center" vertical="center" wrapText="1"/>
      <protection hidden="1"/>
    </xf>
    <xf numFmtId="0" fontId="17" fillId="5" borderId="24" xfId="0" applyFont="1" applyFill="1" applyBorder="1" applyAlignment="1" applyProtection="1">
      <alignment horizontal="center" vertical="center" wrapText="1"/>
      <protection hidden="1"/>
    </xf>
    <xf numFmtId="0" fontId="17" fillId="5" borderId="27" xfId="0" applyFont="1" applyFill="1" applyBorder="1" applyAlignment="1" applyProtection="1">
      <alignment horizontal="center" vertical="center" wrapText="1"/>
      <protection hidden="1"/>
    </xf>
    <xf numFmtId="0" fontId="17" fillId="5" borderId="25" xfId="0" applyFont="1" applyFill="1" applyBorder="1" applyAlignment="1" applyProtection="1">
      <alignment horizontal="center" vertical="center" wrapText="1"/>
      <protection hidden="1"/>
    </xf>
    <xf numFmtId="0" fontId="10" fillId="5" borderId="181" xfId="0" applyFont="1" applyFill="1" applyBorder="1" applyAlignment="1" applyProtection="1">
      <alignment horizontal="center" vertical="center" wrapText="1"/>
      <protection hidden="1"/>
    </xf>
    <xf numFmtId="0" fontId="10" fillId="0" borderId="49" xfId="0" applyFont="1" applyBorder="1" applyAlignment="1" applyProtection="1">
      <alignment horizontal="center" vertical="center" wrapText="1"/>
      <protection hidden="1"/>
    </xf>
    <xf numFmtId="0" fontId="10" fillId="0" borderId="0" xfId="0" applyFont="1" applyBorder="1" applyAlignment="1" applyProtection="1">
      <alignment horizontal="center" vertical="center" wrapText="1"/>
      <protection hidden="1"/>
    </xf>
    <xf numFmtId="0" fontId="10" fillId="0" borderId="24" xfId="0" applyFont="1" applyBorder="1" applyAlignment="1" applyProtection="1">
      <alignment horizontal="center" vertical="center" wrapText="1"/>
      <protection hidden="1"/>
    </xf>
    <xf numFmtId="0" fontId="17" fillId="0" borderId="80" xfId="0" applyFont="1" applyBorder="1" applyAlignment="1" applyProtection="1">
      <alignment horizontal="center" vertical="center" wrapText="1"/>
      <protection hidden="1"/>
    </xf>
    <xf numFmtId="0" fontId="17" fillId="0" borderId="159" xfId="0" applyFont="1" applyBorder="1" applyAlignment="1" applyProtection="1">
      <alignment horizontal="center" vertical="center" wrapText="1"/>
      <protection hidden="1"/>
    </xf>
    <xf numFmtId="0" fontId="104" fillId="0" borderId="10" xfId="0" applyFont="1" applyFill="1" applyBorder="1" applyAlignment="1" applyProtection="1">
      <alignment horizontal="center" vertical="center" wrapText="1"/>
      <protection locked="0"/>
    </xf>
    <xf numFmtId="0" fontId="10" fillId="0" borderId="64" xfId="0" applyFont="1" applyBorder="1" applyAlignment="1" applyProtection="1">
      <alignment horizontal="center" vertical="center" wrapText="1"/>
      <protection hidden="1"/>
    </xf>
    <xf numFmtId="0" fontId="10" fillId="0" borderId="191" xfId="0" applyNumberFormat="1" applyFont="1" applyBorder="1" applyAlignment="1" applyProtection="1">
      <alignment horizontal="center" vertical="center" wrapText="1"/>
      <protection hidden="1"/>
    </xf>
    <xf numFmtId="0" fontId="10" fillId="0" borderId="164" xfId="0" applyNumberFormat="1" applyFont="1" applyBorder="1" applyAlignment="1" applyProtection="1">
      <alignment horizontal="center" vertical="center" wrapText="1"/>
      <protection hidden="1"/>
    </xf>
    <xf numFmtId="0" fontId="17" fillId="0" borderId="89" xfId="0" applyFont="1" applyFill="1" applyBorder="1" applyAlignment="1" applyProtection="1">
      <alignment vertical="center" wrapText="1"/>
      <protection hidden="1"/>
    </xf>
    <xf numFmtId="0" fontId="6" fillId="0" borderId="123" xfId="0" applyNumberFormat="1" applyFont="1" applyBorder="1" applyAlignment="1" applyProtection="1">
      <alignment horizontal="center" vertical="center" wrapText="1"/>
      <protection hidden="1"/>
    </xf>
    <xf numFmtId="0" fontId="6" fillId="0" borderId="91" xfId="0" applyNumberFormat="1" applyFont="1" applyBorder="1" applyAlignment="1" applyProtection="1">
      <alignment horizontal="center" vertical="center" wrapText="1"/>
      <protection hidden="1"/>
    </xf>
    <xf numFmtId="0" fontId="10" fillId="5" borderId="185" xfId="0" applyNumberFormat="1" applyFont="1" applyFill="1" applyBorder="1" applyAlignment="1" applyProtection="1">
      <alignment horizontal="center" vertical="center" wrapText="1"/>
      <protection hidden="1"/>
    </xf>
    <xf numFmtId="0" fontId="42" fillId="4" borderId="10" xfId="0" applyNumberFormat="1" applyFont="1" applyFill="1" applyBorder="1" applyAlignment="1" applyProtection="1">
      <alignment horizontal="center" vertical="center" wrapText="1"/>
      <protection hidden="1"/>
    </xf>
    <xf numFmtId="0" fontId="17" fillId="0" borderId="3" xfId="0" applyFont="1" applyFill="1" applyBorder="1" applyAlignment="1" applyProtection="1">
      <alignment vertical="center" wrapText="1"/>
      <protection hidden="1"/>
    </xf>
    <xf numFmtId="0" fontId="104" fillId="0" borderId="100" xfId="0" applyFont="1" applyBorder="1" applyAlignment="1" applyProtection="1">
      <alignment horizontal="center" vertical="center" wrapText="1"/>
      <protection locked="0"/>
    </xf>
    <xf numFmtId="0" fontId="104" fillId="0" borderId="60" xfId="0" applyFont="1" applyBorder="1" applyAlignment="1" applyProtection="1">
      <alignment horizontal="center" vertical="center" wrapText="1"/>
      <protection locked="0"/>
    </xf>
    <xf numFmtId="0" fontId="17" fillId="5" borderId="113" xfId="0" applyNumberFormat="1" applyFont="1" applyFill="1" applyBorder="1" applyAlignment="1" applyProtection="1">
      <alignment horizontal="center" wrapText="1"/>
      <protection hidden="1"/>
    </xf>
    <xf numFmtId="0" fontId="17" fillId="5" borderId="9" xfId="0" applyFont="1" applyFill="1" applyBorder="1" applyAlignment="1" applyProtection="1">
      <alignment horizontal="center" vertical="center" wrapText="1"/>
      <protection hidden="1"/>
    </xf>
    <xf numFmtId="0" fontId="17" fillId="5" borderId="33" xfId="0" applyFont="1" applyFill="1" applyBorder="1" applyAlignment="1" applyProtection="1">
      <alignment horizontal="center" vertical="center" wrapText="1"/>
      <protection hidden="1"/>
    </xf>
    <xf numFmtId="0" fontId="70" fillId="0" borderId="154" xfId="0" applyFont="1" applyFill="1" applyBorder="1" applyAlignment="1" applyProtection="1">
      <alignment vertical="center" wrapText="1"/>
      <protection hidden="1"/>
    </xf>
    <xf numFmtId="0" fontId="70" fillId="0" borderId="158" xfId="0" applyFont="1" applyFill="1" applyBorder="1" applyAlignment="1" applyProtection="1">
      <alignment vertical="center" wrapText="1"/>
      <protection hidden="1"/>
    </xf>
    <xf numFmtId="0" fontId="10" fillId="5" borderId="185" xfId="0" applyFont="1" applyFill="1" applyBorder="1" applyAlignment="1" applyProtection="1">
      <alignment horizontal="center" vertical="center"/>
      <protection hidden="1"/>
    </xf>
    <xf numFmtId="0" fontId="43" fillId="5" borderId="182" xfId="0" applyFont="1" applyFill="1" applyBorder="1" applyAlignment="1" applyProtection="1">
      <alignment horizontal="center" vertical="center"/>
      <protection hidden="1"/>
    </xf>
    <xf numFmtId="0" fontId="88" fillId="5" borderId="181" xfId="0" applyFont="1" applyFill="1" applyBorder="1" applyAlignment="1" applyProtection="1">
      <alignment horizontal="center" vertical="center" wrapText="1"/>
      <protection hidden="1"/>
    </xf>
    <xf numFmtId="0" fontId="6" fillId="0" borderId="3" xfId="0" applyFont="1" applyBorder="1" applyAlignment="1" applyProtection="1">
      <alignment horizontal="center" vertical="center" wrapText="1"/>
      <protection locked="0"/>
    </xf>
    <xf numFmtId="0" fontId="6" fillId="0" borderId="47" xfId="0" applyFont="1" applyBorder="1" applyAlignment="1" applyProtection="1">
      <alignment horizontal="center" vertical="center" wrapText="1"/>
      <protection locked="0"/>
    </xf>
    <xf numFmtId="0" fontId="6" fillId="0" borderId="24" xfId="0" applyFont="1" applyBorder="1" applyAlignment="1" applyProtection="1">
      <alignment horizontal="center" vertical="center" wrapText="1"/>
      <protection locked="0"/>
    </xf>
    <xf numFmtId="0" fontId="15" fillId="5" borderId="113" xfId="0" applyFont="1" applyFill="1" applyBorder="1" applyAlignment="1" applyProtection="1">
      <alignment vertical="center" wrapText="1"/>
      <protection hidden="1"/>
    </xf>
    <xf numFmtId="0" fontId="2" fillId="5" borderId="25" xfId="0" applyFont="1" applyFill="1" applyBorder="1" applyAlignment="1" applyProtection="1">
      <alignment vertical="center" wrapText="1"/>
      <protection hidden="1"/>
    </xf>
    <xf numFmtId="0" fontId="14" fillId="3" borderId="140" xfId="0" applyFont="1" applyFill="1" applyBorder="1" applyAlignment="1" applyProtection="1">
      <alignment vertical="center"/>
      <protection hidden="1"/>
    </xf>
    <xf numFmtId="0" fontId="14" fillId="3" borderId="175" xfId="0" applyFont="1" applyFill="1" applyBorder="1" applyAlignment="1" applyProtection="1">
      <alignment vertical="center"/>
      <protection hidden="1"/>
    </xf>
    <xf numFmtId="0" fontId="66" fillId="0" borderId="64" xfId="0" applyFont="1" applyBorder="1" applyAlignment="1" applyProtection="1">
      <alignment vertical="center" wrapText="1"/>
      <protection hidden="1"/>
    </xf>
    <xf numFmtId="0" fontId="66" fillId="0" borderId="76" xfId="0" applyFont="1" applyBorder="1" applyAlignment="1" applyProtection="1">
      <alignment vertical="center" wrapText="1"/>
      <protection hidden="1"/>
    </xf>
    <xf numFmtId="0" fontId="18" fillId="5" borderId="24" xfId="0" applyFont="1" applyFill="1" applyBorder="1" applyAlignment="1" applyProtection="1">
      <alignment horizontal="center" vertical="center" wrapText="1"/>
      <protection hidden="1"/>
    </xf>
    <xf numFmtId="0" fontId="18" fillId="5" borderId="35" xfId="0" applyFont="1" applyFill="1" applyBorder="1" applyAlignment="1" applyProtection="1">
      <alignment horizontal="center" vertical="center" wrapText="1"/>
      <protection hidden="1"/>
    </xf>
    <xf numFmtId="0" fontId="15" fillId="5" borderId="186" xfId="0" applyFont="1" applyFill="1" applyBorder="1" applyAlignment="1" applyProtection="1">
      <alignment vertical="center" wrapText="1"/>
      <protection hidden="1"/>
    </xf>
    <xf numFmtId="0" fontId="17" fillId="5" borderId="45" xfId="0" applyFont="1" applyFill="1" applyBorder="1" applyAlignment="1" applyProtection="1">
      <alignment horizontal="center" vertical="center" wrapText="1"/>
      <protection hidden="1"/>
    </xf>
    <xf numFmtId="0" fontId="17" fillId="5" borderId="8" xfId="0" applyFont="1" applyFill="1" applyBorder="1" applyAlignment="1" applyProtection="1">
      <alignment horizontal="center" vertical="center" wrapText="1"/>
      <protection hidden="1"/>
    </xf>
    <xf numFmtId="0" fontId="17" fillId="5" borderId="11" xfId="0" applyFont="1" applyFill="1" applyBorder="1" applyAlignment="1" applyProtection="1">
      <alignment horizontal="center" vertical="center" wrapText="1"/>
      <protection hidden="1"/>
    </xf>
    <xf numFmtId="0" fontId="104" fillId="0" borderId="34" xfId="0" applyFont="1" applyFill="1" applyBorder="1" applyAlignment="1" applyProtection="1">
      <alignment horizontal="center" vertical="center" wrapText="1"/>
      <protection locked="0"/>
    </xf>
    <xf numFmtId="0" fontId="17" fillId="0" borderId="46" xfId="0" applyFont="1" applyFill="1" applyBorder="1" applyAlignment="1" applyProtection="1">
      <alignment vertical="center" wrapText="1"/>
      <protection hidden="1"/>
    </xf>
    <xf numFmtId="0" fontId="17" fillId="0" borderId="148" xfId="0" applyFont="1" applyFill="1" applyBorder="1" applyAlignment="1" applyProtection="1">
      <alignment vertical="center" wrapText="1"/>
      <protection hidden="1"/>
    </xf>
    <xf numFmtId="0" fontId="17" fillId="0" borderId="99" xfId="0" applyFont="1" applyBorder="1" applyAlignment="1" applyProtection="1">
      <alignment horizontal="center" vertical="center" wrapText="1"/>
      <protection hidden="1"/>
    </xf>
    <xf numFmtId="0" fontId="17" fillId="0" borderId="174" xfId="0" applyFont="1" applyBorder="1" applyAlignment="1" applyProtection="1">
      <alignment horizontal="center" vertical="center" wrapText="1"/>
      <protection hidden="1"/>
    </xf>
    <xf numFmtId="0" fontId="104" fillId="0" borderId="21" xfId="0" applyFont="1" applyFill="1" applyBorder="1" applyAlignment="1" applyProtection="1">
      <alignment horizontal="center" vertical="center" wrapText="1"/>
      <protection locked="0"/>
    </xf>
    <xf numFmtId="0" fontId="104" fillId="0" borderId="38" xfId="0" applyFont="1" applyFill="1" applyBorder="1" applyAlignment="1" applyProtection="1">
      <alignment horizontal="center" vertical="center" wrapText="1"/>
      <protection locked="0"/>
    </xf>
    <xf numFmtId="0" fontId="104" fillId="0" borderId="41" xfId="0" applyFont="1" applyFill="1" applyBorder="1" applyAlignment="1" applyProtection="1">
      <alignment horizontal="center" vertical="center" wrapText="1"/>
      <protection locked="0"/>
    </xf>
    <xf numFmtId="0" fontId="104" fillId="0" borderId="142" xfId="0" applyFont="1" applyFill="1" applyBorder="1" applyAlignment="1" applyProtection="1">
      <alignment horizontal="center" vertical="center" wrapText="1"/>
      <protection locked="0"/>
    </xf>
    <xf numFmtId="0" fontId="104" fillId="0" borderId="43" xfId="0" applyFont="1" applyBorder="1" applyAlignment="1" applyProtection="1">
      <alignment horizontal="center" vertical="center" wrapText="1"/>
      <protection locked="0"/>
    </xf>
    <xf numFmtId="0" fontId="104" fillId="0" borderId="19" xfId="0" applyFont="1" applyBorder="1" applyAlignment="1" applyProtection="1">
      <alignment horizontal="center" vertical="center" wrapText="1"/>
      <protection locked="0"/>
    </xf>
    <xf numFmtId="0" fontId="6" fillId="0" borderId="100" xfId="0" applyFont="1" applyBorder="1" applyAlignment="1" applyProtection="1">
      <alignment horizontal="center" vertical="center" wrapText="1"/>
      <protection hidden="1"/>
    </xf>
    <xf numFmtId="0" fontId="6" fillId="0" borderId="60" xfId="0" applyFont="1" applyBorder="1" applyAlignment="1" applyProtection="1">
      <alignment horizontal="center" vertical="center" wrapText="1"/>
      <protection hidden="1"/>
    </xf>
    <xf numFmtId="0" fontId="15" fillId="5" borderId="24" xfId="0" applyFont="1" applyFill="1" applyBorder="1" applyAlignment="1" applyProtection="1">
      <alignment vertical="center" wrapText="1"/>
      <protection hidden="1"/>
    </xf>
    <xf numFmtId="0" fontId="15" fillId="5" borderId="22" xfId="0" applyFont="1" applyFill="1" applyBorder="1" applyAlignment="1" applyProtection="1">
      <alignment vertical="center" wrapText="1"/>
      <protection hidden="1"/>
    </xf>
    <xf numFmtId="0" fontId="17" fillId="0" borderId="19" xfId="0" applyFont="1" applyFill="1" applyBorder="1" applyAlignment="1" applyProtection="1">
      <alignment vertical="center" wrapText="1"/>
      <protection hidden="1"/>
    </xf>
    <xf numFmtId="0" fontId="17" fillId="0" borderId="31" xfId="0" applyFont="1" applyFill="1" applyBorder="1" applyAlignment="1" applyProtection="1">
      <alignment vertical="center" wrapText="1"/>
      <protection hidden="1"/>
    </xf>
    <xf numFmtId="0" fontId="17" fillId="0" borderId="21" xfId="0" applyFont="1" applyFill="1" applyBorder="1" applyAlignment="1" applyProtection="1">
      <alignment vertical="center" wrapText="1"/>
      <protection hidden="1"/>
    </xf>
    <xf numFmtId="0" fontId="17" fillId="0" borderId="103" xfId="0" applyFont="1" applyFill="1" applyBorder="1" applyAlignment="1" applyProtection="1">
      <alignment vertical="center" wrapText="1"/>
      <protection hidden="1"/>
    </xf>
    <xf numFmtId="0" fontId="10" fillId="0" borderId="74" xfId="0" applyFont="1" applyFill="1" applyBorder="1" applyAlignment="1" applyProtection="1">
      <alignment vertical="center" wrapText="1"/>
      <protection hidden="1"/>
    </xf>
    <xf numFmtId="0" fontId="10" fillId="5" borderId="27" xfId="0" applyNumberFormat="1" applyFont="1" applyFill="1" applyBorder="1" applyAlignment="1" applyProtection="1">
      <alignment horizontal="center" vertical="center" wrapText="1"/>
      <protection hidden="1"/>
    </xf>
    <xf numFmtId="0" fontId="10" fillId="5" borderId="25" xfId="0" applyNumberFormat="1" applyFont="1" applyFill="1" applyBorder="1" applyAlignment="1" applyProtection="1">
      <alignment horizontal="center" vertical="center" wrapText="1"/>
      <protection hidden="1"/>
    </xf>
    <xf numFmtId="0" fontId="10" fillId="0" borderId="9" xfId="0" applyFont="1" applyFill="1" applyBorder="1" applyAlignment="1" applyProtection="1">
      <alignment horizontal="center" vertical="center" wrapText="1"/>
      <protection hidden="1"/>
    </xf>
    <xf numFmtId="0" fontId="10" fillId="0" borderId="8" xfId="0" applyFont="1" applyFill="1" applyBorder="1" applyAlignment="1" applyProtection="1">
      <alignment horizontal="center" vertical="center" wrapText="1"/>
      <protection hidden="1"/>
    </xf>
    <xf numFmtId="0" fontId="10" fillId="0" borderId="23" xfId="0" applyFont="1" applyFill="1" applyBorder="1" applyAlignment="1" applyProtection="1">
      <alignment horizontal="center" vertical="center" wrapText="1"/>
      <protection hidden="1"/>
    </xf>
    <xf numFmtId="0" fontId="23" fillId="0" borderId="79" xfId="0" applyFont="1" applyFill="1" applyBorder="1" applyAlignment="1" applyProtection="1">
      <alignment vertical="center" wrapText="1"/>
      <protection hidden="1"/>
    </xf>
    <xf numFmtId="0" fontId="23" fillId="0" borderId="80" xfId="0" applyFont="1" applyFill="1" applyBorder="1" applyAlignment="1" applyProtection="1">
      <alignment vertical="center" wrapText="1"/>
      <protection hidden="1"/>
    </xf>
    <xf numFmtId="0" fontId="23" fillId="0" borderId="192" xfId="0" applyFont="1" applyFill="1" applyBorder="1" applyAlignment="1" applyProtection="1">
      <alignment vertical="center" wrapText="1"/>
      <protection hidden="1"/>
    </xf>
    <xf numFmtId="0" fontId="3" fillId="5" borderId="185" xfId="0" applyFont="1" applyFill="1" applyBorder="1" applyAlignment="1" applyProtection="1">
      <alignment horizontal="center" vertical="center" wrapText="1"/>
      <protection hidden="1"/>
    </xf>
    <xf numFmtId="0" fontId="3" fillId="5" borderId="182" xfId="0" applyFont="1" applyFill="1" applyBorder="1" applyAlignment="1" applyProtection="1">
      <alignment horizontal="center" vertical="center" wrapText="1"/>
      <protection hidden="1"/>
    </xf>
    <xf numFmtId="0" fontId="17" fillId="0" borderId="153" xfId="0" applyNumberFormat="1" applyFont="1" applyBorder="1" applyAlignment="1" applyProtection="1">
      <alignment horizontal="center" vertical="center" wrapText="1"/>
      <protection hidden="1"/>
    </xf>
    <xf numFmtId="0" fontId="17" fillId="0" borderId="160" xfId="0" applyNumberFormat="1" applyFont="1" applyBorder="1" applyAlignment="1" applyProtection="1">
      <alignment horizontal="center" vertical="center" wrapText="1"/>
      <protection hidden="1"/>
    </xf>
    <xf numFmtId="0" fontId="17" fillId="0" borderId="52" xfId="0" applyNumberFormat="1" applyFont="1" applyBorder="1" applyAlignment="1" applyProtection="1">
      <alignment horizontal="center" vertical="center" wrapText="1"/>
      <protection hidden="1"/>
    </xf>
    <xf numFmtId="0" fontId="17" fillId="0" borderId="50" xfId="0" applyNumberFormat="1" applyFont="1" applyBorder="1" applyAlignment="1" applyProtection="1">
      <alignment horizontal="center" vertical="center" wrapText="1"/>
      <protection hidden="1"/>
    </xf>
    <xf numFmtId="0" fontId="17" fillId="0" borderId="99" xfId="0" applyNumberFormat="1" applyFont="1" applyBorder="1" applyAlignment="1" applyProtection="1">
      <alignment horizontal="center" vertical="center" wrapText="1"/>
      <protection hidden="1"/>
    </xf>
    <xf numFmtId="0" fontId="17" fillId="0" borderId="174" xfId="0" applyNumberFormat="1" applyFont="1" applyBorder="1" applyAlignment="1" applyProtection="1">
      <alignment horizontal="center" vertical="center" wrapText="1"/>
      <protection hidden="1"/>
    </xf>
    <xf numFmtId="0" fontId="10" fillId="0" borderId="99" xfId="0" applyFont="1" applyFill="1" applyBorder="1" applyAlignment="1" applyProtection="1">
      <alignment horizontal="center" vertical="center" wrapText="1"/>
      <protection hidden="1"/>
    </xf>
    <xf numFmtId="0" fontId="10" fillId="0" borderId="76" xfId="0" applyFont="1" applyFill="1" applyBorder="1" applyAlignment="1" applyProtection="1">
      <alignment horizontal="center" vertical="center" wrapText="1"/>
      <protection hidden="1"/>
    </xf>
    <xf numFmtId="0" fontId="23" fillId="0" borderId="193" xfId="0" applyFont="1" applyFill="1" applyBorder="1" applyAlignment="1" applyProtection="1">
      <alignment vertical="center" wrapText="1"/>
      <protection hidden="1"/>
    </xf>
    <xf numFmtId="0" fontId="23" fillId="0" borderId="57" xfId="0" applyFont="1" applyFill="1" applyBorder="1" applyAlignment="1" applyProtection="1">
      <alignment vertical="center" wrapText="1"/>
      <protection hidden="1"/>
    </xf>
    <xf numFmtId="0" fontId="10" fillId="0" borderId="70" xfId="0" applyFont="1" applyBorder="1" applyAlignment="1" applyProtection="1">
      <alignment horizontal="center" vertical="center" wrapText="1"/>
      <protection hidden="1"/>
    </xf>
    <xf numFmtId="0" fontId="10" fillId="0" borderId="132"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10" fillId="0" borderId="32" xfId="0" applyFont="1" applyBorder="1" applyAlignment="1" applyProtection="1">
      <alignment horizontal="center" vertical="center" wrapText="1"/>
      <protection hidden="1"/>
    </xf>
    <xf numFmtId="0" fontId="10" fillId="0" borderId="10" xfId="0" applyFont="1" applyFill="1" applyBorder="1" applyAlignment="1" applyProtection="1">
      <alignment horizontal="center" vertical="center"/>
      <protection hidden="1"/>
    </xf>
    <xf numFmtId="0" fontId="10" fillId="0" borderId="5" xfId="0" applyFont="1" applyFill="1" applyBorder="1" applyAlignment="1" applyProtection="1">
      <alignment horizontal="center" vertical="center"/>
      <protection hidden="1"/>
    </xf>
    <xf numFmtId="0" fontId="10" fillId="0" borderId="13" xfId="0" applyFont="1" applyFill="1" applyBorder="1" applyAlignment="1" applyProtection="1">
      <alignment horizontal="center" vertical="center"/>
      <protection hidden="1"/>
    </xf>
    <xf numFmtId="0" fontId="10" fillId="0" borderId="45" xfId="0" applyFont="1" applyBorder="1" applyAlignment="1" applyProtection="1">
      <alignment horizontal="center" vertical="center"/>
      <protection hidden="1"/>
    </xf>
    <xf numFmtId="0" fontId="10" fillId="0" borderId="11" xfId="0" applyFont="1" applyBorder="1" applyAlignment="1" applyProtection="1">
      <alignment horizontal="center" vertical="center"/>
      <protection hidden="1"/>
    </xf>
    <xf numFmtId="0" fontId="42" fillId="4" borderId="153" xfId="0" applyFont="1" applyFill="1" applyBorder="1" applyAlignment="1" applyProtection="1">
      <alignment horizontal="center" vertical="center" wrapText="1"/>
      <protection locked="0"/>
    </xf>
    <xf numFmtId="0" fontId="42" fillId="4" borderId="160" xfId="0" applyFont="1" applyFill="1" applyBorder="1" applyAlignment="1" applyProtection="1">
      <alignment horizontal="center" vertical="center" wrapText="1"/>
      <protection locked="0"/>
    </xf>
    <xf numFmtId="0" fontId="42" fillId="4" borderId="14" xfId="0" applyFont="1" applyFill="1" applyBorder="1" applyAlignment="1" applyProtection="1">
      <alignment horizontal="center" vertical="center" wrapText="1"/>
      <protection locked="0"/>
    </xf>
    <xf numFmtId="0" fontId="42" fillId="4" borderId="6" xfId="0" applyFont="1" applyFill="1" applyBorder="1" applyAlignment="1" applyProtection="1">
      <alignment horizontal="center" vertical="center" wrapText="1"/>
      <protection locked="0"/>
    </xf>
    <xf numFmtId="0" fontId="10" fillId="0" borderId="135" xfId="0" applyFont="1" applyBorder="1" applyAlignment="1" applyProtection="1">
      <alignment horizontal="right" vertical="center"/>
      <protection hidden="1"/>
    </xf>
    <xf numFmtId="0" fontId="10" fillId="0" borderId="6" xfId="0" applyFont="1" applyBorder="1" applyAlignment="1" applyProtection="1">
      <alignment horizontal="right" vertical="center"/>
      <protection hidden="1"/>
    </xf>
    <xf numFmtId="0" fontId="6" fillId="0" borderId="105" xfId="0" applyFont="1" applyBorder="1" applyAlignment="1" applyProtection="1">
      <alignment horizontal="center" vertical="center" wrapText="1"/>
      <protection locked="0"/>
    </xf>
    <xf numFmtId="0" fontId="6" fillId="0" borderId="135" xfId="0" applyFont="1" applyBorder="1" applyAlignment="1" applyProtection="1">
      <alignment horizontal="center" vertical="center" wrapText="1"/>
      <protection locked="0"/>
    </xf>
    <xf numFmtId="0" fontId="6" fillId="0" borderId="46" xfId="0" applyFont="1" applyBorder="1" applyAlignment="1" applyProtection="1">
      <alignment horizontal="center" vertical="center" wrapText="1"/>
      <protection locked="0"/>
    </xf>
    <xf numFmtId="0" fontId="6" fillId="0" borderId="6" xfId="0" applyFont="1" applyBorder="1" applyAlignment="1" applyProtection="1">
      <alignment horizontal="center" vertical="center" wrapText="1"/>
      <protection locked="0"/>
    </xf>
    <xf numFmtId="0" fontId="10" fillId="5" borderId="9" xfId="0" applyFont="1" applyFill="1" applyBorder="1" applyAlignment="1" applyProtection="1">
      <alignment horizontal="center" vertical="center" wrapText="1"/>
      <protection hidden="1"/>
    </xf>
    <xf numFmtId="0" fontId="42" fillId="4" borderId="157" xfId="0" applyFont="1" applyFill="1" applyBorder="1" applyAlignment="1" applyProtection="1">
      <alignment horizontal="center" vertical="center" wrapText="1"/>
      <protection locked="0"/>
    </xf>
    <xf numFmtId="0" fontId="42" fillId="4" borderId="52" xfId="0" applyFont="1" applyFill="1" applyBorder="1" applyAlignment="1" applyProtection="1">
      <alignment horizontal="center" vertical="center" wrapText="1"/>
      <protection locked="0"/>
    </xf>
    <xf numFmtId="0" fontId="42" fillId="4" borderId="54" xfId="0" applyFont="1" applyFill="1" applyBorder="1" applyAlignment="1" applyProtection="1">
      <alignment horizontal="center" vertical="center" wrapText="1"/>
      <protection locked="0"/>
    </xf>
    <xf numFmtId="0" fontId="42" fillId="4" borderId="32" xfId="0" applyFont="1" applyFill="1" applyBorder="1" applyAlignment="1" applyProtection="1">
      <alignment horizontal="center" vertical="center" wrapText="1"/>
      <protection locked="0"/>
    </xf>
    <xf numFmtId="0" fontId="17" fillId="0" borderId="12" xfId="0" applyFont="1" applyFill="1" applyBorder="1" applyAlignment="1" applyProtection="1">
      <alignment vertical="center" wrapText="1"/>
      <protection hidden="1"/>
    </xf>
    <xf numFmtId="0" fontId="17" fillId="0" borderId="10" xfId="0" applyFont="1" applyFill="1" applyBorder="1" applyAlignment="1" applyProtection="1">
      <alignment vertical="center" wrapText="1"/>
      <protection hidden="1"/>
    </xf>
    <xf numFmtId="0" fontId="17" fillId="0" borderId="30" xfId="0" applyFont="1" applyFill="1" applyBorder="1" applyAlignment="1" applyProtection="1">
      <alignment vertical="center" wrapText="1"/>
      <protection hidden="1"/>
    </xf>
    <xf numFmtId="0" fontId="10" fillId="0" borderId="102" xfId="0" applyNumberFormat="1" applyFont="1" applyBorder="1" applyAlignment="1" applyProtection="1">
      <alignment horizontal="center" vertical="center" wrapText="1"/>
      <protection hidden="1"/>
    </xf>
    <xf numFmtId="0" fontId="10" fillId="0" borderId="28" xfId="0" applyNumberFormat="1" applyFont="1" applyBorder="1" applyAlignment="1" applyProtection="1">
      <alignment horizontal="center" vertical="center" wrapText="1"/>
      <protection hidden="1"/>
    </xf>
    <xf numFmtId="0" fontId="10" fillId="0" borderId="22" xfId="0" applyNumberFormat="1" applyFont="1" applyBorder="1" applyAlignment="1" applyProtection="1">
      <alignment horizontal="center" vertical="center" wrapText="1"/>
      <protection hidden="1"/>
    </xf>
    <xf numFmtId="0" fontId="83" fillId="0" borderId="4" xfId="0" applyNumberFormat="1" applyFont="1" applyBorder="1" applyAlignment="1" applyProtection="1">
      <alignment horizontal="center" vertical="center" wrapText="1"/>
      <protection hidden="1"/>
    </xf>
    <xf numFmtId="0" fontId="65" fillId="5" borderId="50" xfId="0" applyNumberFormat="1" applyFont="1" applyFill="1" applyBorder="1" applyAlignment="1" applyProtection="1">
      <alignment horizontal="center" wrapText="1"/>
      <protection hidden="1"/>
    </xf>
    <xf numFmtId="0" fontId="65" fillId="5" borderId="25" xfId="0" applyNumberFormat="1" applyFont="1" applyFill="1" applyBorder="1" applyAlignment="1" applyProtection="1">
      <alignment horizontal="center" wrapText="1"/>
      <protection hidden="1"/>
    </xf>
    <xf numFmtId="0" fontId="6" fillId="0" borderId="47" xfId="0" applyNumberFormat="1" applyFont="1" applyBorder="1" applyAlignment="1" applyProtection="1">
      <alignment horizontal="center" vertical="center" wrapText="1"/>
      <protection hidden="1"/>
    </xf>
    <xf numFmtId="0" fontId="6" fillId="0" borderId="22" xfId="0" applyNumberFormat="1" applyFont="1" applyBorder="1" applyAlignment="1" applyProtection="1">
      <alignment horizontal="center" vertical="center" wrapText="1"/>
      <protection hidden="1"/>
    </xf>
    <xf numFmtId="0" fontId="17" fillId="0" borderId="61" xfId="0" applyFont="1" applyFill="1" applyBorder="1" applyAlignment="1" applyProtection="1">
      <alignment vertical="center" wrapText="1"/>
      <protection hidden="1"/>
    </xf>
    <xf numFmtId="0" fontId="17" fillId="0" borderId="5" xfId="0" applyFont="1" applyFill="1" applyBorder="1" applyAlignment="1" applyProtection="1">
      <alignment vertical="center" wrapText="1"/>
      <protection hidden="1"/>
    </xf>
    <xf numFmtId="0" fontId="17" fillId="0" borderId="13" xfId="0" applyFont="1" applyFill="1" applyBorder="1" applyAlignment="1" applyProtection="1">
      <alignment vertical="center" wrapText="1"/>
      <protection hidden="1"/>
    </xf>
    <xf numFmtId="0" fontId="70" fillId="0" borderId="80" xfId="0" applyFont="1" applyFill="1" applyBorder="1" applyAlignment="1" applyProtection="1">
      <alignment vertical="center" wrapText="1"/>
      <protection hidden="1"/>
    </xf>
    <xf numFmtId="0" fontId="70" fillId="0" borderId="192" xfId="0" applyFont="1" applyFill="1" applyBorder="1" applyAlignment="1" applyProtection="1">
      <alignment vertical="center" wrapText="1"/>
      <protection hidden="1"/>
    </xf>
    <xf numFmtId="0" fontId="6" fillId="0" borderId="23" xfId="0" applyNumberFormat="1" applyFont="1" applyBorder="1" applyAlignment="1" applyProtection="1">
      <alignment horizontal="center" vertical="center" wrapText="1"/>
      <protection hidden="1"/>
    </xf>
    <xf numFmtId="0" fontId="43" fillId="5" borderId="46" xfId="0" applyFont="1" applyFill="1" applyBorder="1" applyAlignment="1" applyProtection="1">
      <alignment horizontal="center" vertical="center"/>
      <protection hidden="1"/>
    </xf>
    <xf numFmtId="0" fontId="43" fillId="5" borderId="18" xfId="0" applyFont="1" applyFill="1" applyBorder="1" applyAlignment="1" applyProtection="1">
      <alignment horizontal="center" vertical="center"/>
      <protection hidden="1"/>
    </xf>
    <xf numFmtId="0" fontId="10" fillId="0" borderId="81" xfId="0" applyFont="1" applyFill="1" applyBorder="1" applyAlignment="1" applyProtection="1">
      <alignment vertical="center" wrapText="1"/>
      <protection hidden="1"/>
    </xf>
    <xf numFmtId="0" fontId="6" fillId="0" borderId="24" xfId="0" applyNumberFormat="1" applyFont="1" applyBorder="1" applyAlignment="1" applyProtection="1">
      <alignment horizontal="center" vertical="center" wrapText="1"/>
      <protection hidden="1"/>
    </xf>
    <xf numFmtId="0" fontId="6" fillId="0" borderId="35" xfId="0" applyNumberFormat="1" applyFont="1" applyBorder="1" applyAlignment="1" applyProtection="1">
      <alignment horizontal="center" vertical="center" wrapText="1"/>
      <protection hidden="1"/>
    </xf>
    <xf numFmtId="0" fontId="2" fillId="5" borderId="0" xfId="0" applyFont="1" applyFill="1" applyBorder="1" applyAlignment="1" applyProtection="1">
      <alignment vertical="center" wrapText="1"/>
      <protection hidden="1"/>
    </xf>
    <xf numFmtId="0" fontId="2" fillId="5" borderId="28" xfId="0" applyFont="1" applyFill="1" applyBorder="1" applyAlignment="1" applyProtection="1">
      <alignment vertical="center" wrapText="1"/>
      <protection hidden="1"/>
    </xf>
    <xf numFmtId="0" fontId="41" fillId="0" borderId="72" xfId="0" applyFont="1" applyBorder="1" applyAlignment="1" applyProtection="1">
      <alignment horizontal="right" vertical="center" textRotation="90"/>
      <protection hidden="1"/>
    </xf>
    <xf numFmtId="0" fontId="70" fillId="0" borderId="80" xfId="0" applyFont="1" applyFill="1" applyBorder="1" applyAlignment="1" applyProtection="1">
      <alignment horizontal="left" vertical="center" wrapText="1"/>
      <protection hidden="1"/>
    </xf>
    <xf numFmtId="0" fontId="10" fillId="0" borderId="45" xfId="0" applyFont="1" applyFill="1" applyBorder="1" applyAlignment="1" applyProtection="1">
      <alignment vertical="center" wrapText="1"/>
      <protection hidden="1"/>
    </xf>
    <xf numFmtId="0" fontId="6" fillId="0" borderId="43" xfId="0" applyNumberFormat="1" applyFont="1" applyBorder="1" applyAlignment="1" applyProtection="1">
      <alignment horizontal="center" vertical="center" wrapText="1"/>
      <protection locked="0"/>
    </xf>
    <xf numFmtId="0" fontId="6" fillId="0" borderId="19" xfId="0" applyNumberFormat="1" applyFont="1" applyBorder="1" applyAlignment="1" applyProtection="1">
      <alignment horizontal="center" vertical="center" wrapText="1"/>
      <protection locked="0"/>
    </xf>
    <xf numFmtId="0" fontId="6" fillId="0" borderId="61" xfId="0" applyNumberFormat="1" applyFont="1" applyBorder="1" applyAlignment="1" applyProtection="1">
      <alignment horizontal="center" vertical="center" wrapText="1"/>
      <protection locked="0"/>
    </xf>
    <xf numFmtId="0" fontId="42" fillId="4" borderId="61" xfId="0" applyNumberFormat="1" applyFont="1" applyFill="1" applyBorder="1" applyAlignment="1" applyProtection="1">
      <alignment horizontal="center" vertical="center" wrapText="1"/>
      <protection locked="0"/>
    </xf>
    <xf numFmtId="0" fontId="6" fillId="0" borderId="100" xfId="0" applyNumberFormat="1" applyFont="1" applyBorder="1" applyAlignment="1" applyProtection="1">
      <alignment horizontal="center" vertical="center" wrapText="1"/>
      <protection locked="0"/>
    </xf>
    <xf numFmtId="0" fontId="6" fillId="0" borderId="60" xfId="0" applyNumberFormat="1" applyFont="1" applyBorder="1" applyAlignment="1" applyProtection="1">
      <alignment horizontal="center" vertical="center" wrapText="1"/>
      <protection locked="0"/>
    </xf>
    <xf numFmtId="0" fontId="10" fillId="0" borderId="9" xfId="0" applyFont="1" applyFill="1" applyBorder="1" applyAlignment="1" applyProtection="1">
      <alignment horizontal="center" vertical="center"/>
      <protection hidden="1"/>
    </xf>
    <xf numFmtId="0" fontId="10" fillId="0" borderId="8" xfId="0" applyFont="1" applyFill="1" applyBorder="1" applyAlignment="1" applyProtection="1">
      <alignment horizontal="center" vertical="center"/>
      <protection hidden="1"/>
    </xf>
    <xf numFmtId="0" fontId="10" fillId="0" borderId="23" xfId="0" applyFont="1" applyFill="1" applyBorder="1" applyAlignment="1" applyProtection="1">
      <alignment horizontal="center" vertical="center"/>
      <protection hidden="1"/>
    </xf>
    <xf numFmtId="0" fontId="3" fillId="0" borderId="77" xfId="0" applyFont="1" applyBorder="1" applyAlignment="1" applyProtection="1">
      <alignment horizontal="right" vertical="center" textRotation="90" wrapText="1"/>
      <protection hidden="1"/>
    </xf>
    <xf numFmtId="0" fontId="3" fillId="0" borderId="72" xfId="0" applyFont="1" applyBorder="1" applyAlignment="1" applyProtection="1">
      <alignment horizontal="right" vertical="center" textRotation="90" wrapText="1"/>
      <protection hidden="1"/>
    </xf>
    <xf numFmtId="0" fontId="73" fillId="5" borderId="24" xfId="0" applyFont="1" applyFill="1" applyBorder="1" applyAlignment="1" applyProtection="1">
      <alignment horizontal="right" wrapText="1"/>
      <protection hidden="1"/>
    </xf>
    <xf numFmtId="0" fontId="73" fillId="5" borderId="22" xfId="0" applyFont="1" applyFill="1" applyBorder="1" applyAlignment="1" applyProtection="1">
      <alignment horizontal="right" wrapText="1"/>
      <protection hidden="1"/>
    </xf>
    <xf numFmtId="0" fontId="10" fillId="0" borderId="21" xfId="0" applyFont="1" applyFill="1" applyBorder="1" applyAlignment="1" applyProtection="1">
      <alignment horizontal="center" vertical="center" wrapText="1"/>
      <protection hidden="1"/>
    </xf>
    <xf numFmtId="0" fontId="10" fillId="0" borderId="3" xfId="0" applyFont="1" applyFill="1" applyBorder="1" applyAlignment="1" applyProtection="1">
      <alignment horizontal="center" vertical="center" wrapText="1"/>
      <protection hidden="1"/>
    </xf>
    <xf numFmtId="0" fontId="10" fillId="0" borderId="4" xfId="0" applyFont="1" applyFill="1" applyBorder="1" applyAlignment="1" applyProtection="1">
      <alignment horizontal="center" vertical="center" wrapText="1"/>
      <protection hidden="1"/>
    </xf>
    <xf numFmtId="0" fontId="6" fillId="0" borderId="19" xfId="0" applyNumberFormat="1" applyFont="1" applyFill="1" applyBorder="1" applyAlignment="1" applyProtection="1">
      <alignment horizontal="center" vertical="center" wrapText="1"/>
      <protection hidden="1"/>
    </xf>
    <xf numFmtId="0" fontId="17" fillId="5" borderId="185" xfId="0" applyNumberFormat="1" applyFont="1" applyFill="1" applyBorder="1" applyAlignment="1" applyProtection="1">
      <alignment horizontal="center" vertical="center" wrapText="1"/>
      <protection hidden="1"/>
    </xf>
    <xf numFmtId="0" fontId="17" fillId="5" borderId="186" xfId="0" applyNumberFormat="1" applyFont="1" applyFill="1" applyBorder="1" applyAlignment="1" applyProtection="1">
      <alignment horizontal="center" vertical="center" wrapText="1"/>
      <protection hidden="1"/>
    </xf>
    <xf numFmtId="0" fontId="42" fillId="9" borderId="61" xfId="0" applyFont="1" applyFill="1" applyBorder="1" applyAlignment="1" applyProtection="1">
      <alignment horizontal="center" vertical="center" wrapText="1"/>
      <protection locked="0"/>
    </xf>
    <xf numFmtId="0" fontId="42" fillId="9" borderId="12" xfId="0" applyFont="1" applyFill="1" applyBorder="1" applyAlignment="1" applyProtection="1">
      <alignment horizontal="center" vertical="center" wrapText="1"/>
      <protection locked="0"/>
    </xf>
    <xf numFmtId="0" fontId="10" fillId="0" borderId="153" xfId="0" applyNumberFormat="1" applyFont="1" applyBorder="1" applyAlignment="1" applyProtection="1">
      <alignment horizontal="center" vertical="center" wrapText="1"/>
      <protection hidden="1"/>
    </xf>
    <xf numFmtId="0" fontId="10" fillId="0" borderId="52" xfId="0" applyNumberFormat="1" applyFont="1" applyBorder="1" applyAlignment="1" applyProtection="1">
      <alignment horizontal="center" vertical="center" wrapText="1"/>
      <protection hidden="1"/>
    </xf>
    <xf numFmtId="0" fontId="10" fillId="0" borderId="27" xfId="0" applyNumberFormat="1" applyFont="1" applyBorder="1" applyAlignment="1" applyProtection="1">
      <alignment horizontal="center" vertical="center" wrapText="1"/>
      <protection hidden="1"/>
    </xf>
    <xf numFmtId="0" fontId="10" fillId="0" borderId="80" xfId="0" applyFont="1" applyFill="1" applyBorder="1" applyAlignment="1" applyProtection="1">
      <alignment horizontal="center" vertical="center" wrapText="1"/>
      <protection hidden="1"/>
    </xf>
    <xf numFmtId="0" fontId="10" fillId="0" borderId="192" xfId="0" applyFont="1" applyFill="1" applyBorder="1" applyAlignment="1" applyProtection="1">
      <alignment horizontal="center" vertical="center" wrapText="1"/>
      <protection hidden="1"/>
    </xf>
    <xf numFmtId="0" fontId="83" fillId="0" borderId="154" xfId="0" applyNumberFormat="1" applyFont="1" applyFill="1" applyBorder="1" applyAlignment="1" applyProtection="1">
      <alignment horizontal="center" vertical="center" wrapText="1"/>
      <protection hidden="1"/>
    </xf>
    <xf numFmtId="0" fontId="83" fillId="0" borderId="158" xfId="0" applyNumberFormat="1" applyFont="1" applyFill="1" applyBorder="1" applyAlignment="1" applyProtection="1">
      <alignment horizontal="center" vertical="center" wrapText="1"/>
      <protection hidden="1"/>
    </xf>
    <xf numFmtId="0" fontId="106" fillId="0" borderId="31" xfId="0" applyFont="1" applyBorder="1" applyAlignment="1" applyProtection="1">
      <alignment horizontal="center" vertical="center"/>
      <protection hidden="1"/>
    </xf>
    <xf numFmtId="0" fontId="106" fillId="0" borderId="103" xfId="0" applyFont="1" applyBorder="1" applyAlignment="1" applyProtection="1">
      <alignment horizontal="center" vertical="center"/>
      <protection hidden="1"/>
    </xf>
    <xf numFmtId="0" fontId="10" fillId="6" borderId="44" xfId="0" applyFont="1" applyFill="1" applyBorder="1" applyAlignment="1" applyProtection="1">
      <alignment horizontal="center" vertical="center"/>
      <protection hidden="1"/>
    </xf>
    <xf numFmtId="0" fontId="43" fillId="6" borderId="17" xfId="0" applyFont="1" applyFill="1" applyBorder="1" applyAlignment="1" applyProtection="1">
      <alignment horizontal="center" vertical="center"/>
      <protection hidden="1"/>
    </xf>
    <xf numFmtId="0" fontId="43" fillId="6" borderId="29" xfId="0" applyFont="1" applyFill="1" applyBorder="1" applyAlignment="1" applyProtection="1">
      <alignment horizontal="center" vertical="center"/>
      <protection hidden="1"/>
    </xf>
    <xf numFmtId="0" fontId="13" fillId="6" borderId="58" xfId="0" applyFont="1" applyFill="1" applyBorder="1" applyAlignment="1" applyProtection="1">
      <alignment horizontal="center" vertical="center"/>
      <protection hidden="1"/>
    </xf>
    <xf numFmtId="0" fontId="13" fillId="6" borderId="28" xfId="0" applyFont="1" applyFill="1" applyBorder="1" applyAlignment="1" applyProtection="1">
      <alignment horizontal="center" vertical="center"/>
      <protection hidden="1"/>
    </xf>
    <xf numFmtId="0" fontId="13" fillId="6" borderId="47" xfId="0" applyFont="1" applyFill="1" applyBorder="1" applyAlignment="1" applyProtection="1">
      <alignment horizontal="center" vertical="center"/>
      <protection hidden="1"/>
    </xf>
    <xf numFmtId="0" fontId="13" fillId="6" borderId="22" xfId="0" applyFont="1" applyFill="1" applyBorder="1" applyAlignment="1" applyProtection="1">
      <alignment horizontal="center" vertical="center"/>
      <protection hidden="1"/>
    </xf>
    <xf numFmtId="0" fontId="2" fillId="6" borderId="46" xfId="0" applyFont="1" applyFill="1" applyBorder="1" applyAlignment="1" applyProtection="1">
      <alignment horizontal="center" vertical="center"/>
      <protection hidden="1"/>
    </xf>
    <xf numFmtId="0" fontId="2" fillId="6" borderId="16" xfId="0" applyFont="1" applyFill="1" applyBorder="1" applyAlignment="1" applyProtection="1">
      <alignment horizontal="center" vertical="center"/>
      <protection hidden="1"/>
    </xf>
    <xf numFmtId="0" fontId="2" fillId="6" borderId="18" xfId="0" applyFont="1" applyFill="1" applyBorder="1" applyAlignment="1" applyProtection="1">
      <alignment horizontal="center" vertical="center"/>
      <protection hidden="1"/>
    </xf>
    <xf numFmtId="0" fontId="10" fillId="6" borderId="47" xfId="0" applyFont="1" applyFill="1" applyBorder="1" applyAlignment="1" applyProtection="1">
      <alignment horizontal="center" vertical="center"/>
      <protection hidden="1"/>
    </xf>
    <xf numFmtId="0" fontId="10" fillId="6" borderId="25" xfId="0" applyFont="1" applyFill="1" applyBorder="1" applyAlignment="1" applyProtection="1">
      <alignment horizontal="center" vertical="center"/>
      <protection hidden="1"/>
    </xf>
    <xf numFmtId="0" fontId="6" fillId="0" borderId="21" xfId="0" applyFont="1" applyBorder="1" applyAlignment="1" applyProtection="1">
      <alignment horizontal="center" vertical="center" wrapText="1"/>
      <protection hidden="1"/>
    </xf>
    <xf numFmtId="0" fontId="6" fillId="0" borderId="38" xfId="0" applyFont="1" applyBorder="1" applyAlignment="1" applyProtection="1">
      <alignment horizontal="center" vertical="center" wrapText="1"/>
      <protection hidden="1"/>
    </xf>
    <xf numFmtId="0" fontId="10" fillId="5" borderId="112" xfId="0" applyNumberFormat="1" applyFont="1" applyFill="1" applyBorder="1" applyAlignment="1" applyProtection="1">
      <alignment horizontal="center" vertical="center" wrapText="1"/>
      <protection hidden="1"/>
    </xf>
    <xf numFmtId="0" fontId="10" fillId="5" borderId="182" xfId="0" applyNumberFormat="1" applyFont="1" applyFill="1" applyBorder="1" applyAlignment="1" applyProtection="1">
      <alignment horizontal="center" vertical="center" wrapText="1"/>
      <protection hidden="1"/>
    </xf>
    <xf numFmtId="0" fontId="2" fillId="3" borderId="140" xfId="0" applyNumberFormat="1" applyFont="1" applyFill="1" applyBorder="1" applyAlignment="1" applyProtection="1">
      <alignment horizontal="center" vertical="center" wrapText="1"/>
      <protection hidden="1"/>
    </xf>
    <xf numFmtId="0" fontId="3" fillId="6" borderId="15" xfId="0" applyFont="1" applyFill="1" applyBorder="1" applyAlignment="1" applyProtection="1">
      <alignment horizontal="center" vertical="center"/>
      <protection hidden="1"/>
    </xf>
    <xf numFmtId="0" fontId="3" fillId="6" borderId="17" xfId="0" applyFont="1" applyFill="1" applyBorder="1" applyAlignment="1" applyProtection="1">
      <alignment horizontal="center" vertical="center"/>
      <protection hidden="1"/>
    </xf>
    <xf numFmtId="0" fontId="3" fillId="6" borderId="40" xfId="0" applyFont="1" applyFill="1" applyBorder="1" applyAlignment="1" applyProtection="1">
      <alignment horizontal="center" vertical="center"/>
      <protection hidden="1"/>
    </xf>
    <xf numFmtId="0" fontId="17" fillId="5" borderId="182" xfId="0" applyFont="1" applyFill="1" applyBorder="1" applyAlignment="1" applyProtection="1">
      <alignment horizontal="center" vertical="center" wrapText="1"/>
      <protection hidden="1"/>
    </xf>
    <xf numFmtId="0" fontId="2" fillId="0" borderId="0" xfId="0" applyFont="1" applyFill="1" applyBorder="1" applyAlignment="1" applyProtection="1">
      <alignment horizontal="left" vertical="center"/>
      <protection hidden="1"/>
    </xf>
    <xf numFmtId="0" fontId="2" fillId="6" borderId="175" xfId="0" applyFont="1" applyFill="1" applyBorder="1" applyAlignment="1" applyProtection="1">
      <alignment horizontal="center" vertical="center"/>
      <protection hidden="1"/>
    </xf>
    <xf numFmtId="0" fontId="10" fillId="0" borderId="165" xfId="0" applyFont="1" applyFill="1" applyBorder="1" applyAlignment="1" applyProtection="1">
      <alignment horizontal="center" vertical="center" wrapText="1"/>
      <protection hidden="1"/>
    </xf>
    <xf numFmtId="0" fontId="10" fillId="0" borderId="158" xfId="0" applyFont="1" applyFill="1" applyBorder="1" applyAlignment="1" applyProtection="1">
      <alignment horizontal="center" vertical="center" wrapText="1"/>
      <protection hidden="1"/>
    </xf>
    <xf numFmtId="0" fontId="6" fillId="0" borderId="165" xfId="0" applyFont="1" applyBorder="1" applyAlignment="1" applyProtection="1">
      <alignment horizontal="center" vertical="center" wrapText="1"/>
      <protection locked="0"/>
    </xf>
    <xf numFmtId="0" fontId="6" fillId="0" borderId="164" xfId="0" applyFont="1" applyBorder="1" applyAlignment="1" applyProtection="1">
      <alignment horizontal="center" vertical="center" wrapText="1"/>
      <protection locked="0"/>
    </xf>
    <xf numFmtId="0" fontId="6" fillId="0" borderId="14" xfId="0" applyFont="1" applyBorder="1" applyAlignment="1" applyProtection="1">
      <alignment horizontal="center" vertical="center" wrapText="1"/>
      <protection locked="0"/>
    </xf>
    <xf numFmtId="0" fontId="104" fillId="0" borderId="120" xfId="0" applyFont="1" applyFill="1" applyBorder="1" applyAlignment="1" applyProtection="1">
      <alignment horizontal="left" vertical="center"/>
      <protection locked="0"/>
    </xf>
    <xf numFmtId="0" fontId="104" fillId="0" borderId="67" xfId="0" applyFont="1" applyFill="1" applyBorder="1" applyAlignment="1" applyProtection="1">
      <alignment horizontal="left" vertical="center"/>
      <protection locked="0"/>
    </xf>
    <xf numFmtId="0" fontId="10" fillId="0" borderId="6" xfId="0" applyFont="1" applyFill="1" applyBorder="1" applyAlignment="1" applyProtection="1">
      <alignment vertical="center" wrapText="1"/>
      <protection hidden="1"/>
    </xf>
    <xf numFmtId="0" fontId="10" fillId="0" borderId="2" xfId="0" applyFont="1" applyFill="1" applyBorder="1" applyAlignment="1" applyProtection="1">
      <alignment vertical="center" wrapText="1"/>
      <protection hidden="1"/>
    </xf>
    <xf numFmtId="0" fontId="6" fillId="0" borderId="123" xfId="0" applyNumberFormat="1" applyFont="1" applyFill="1" applyBorder="1" applyAlignment="1" applyProtection="1">
      <alignment horizontal="center" vertical="center" wrapText="1"/>
      <protection locked="0"/>
    </xf>
    <xf numFmtId="0" fontId="6" fillId="0" borderId="91" xfId="0" applyNumberFormat="1" applyFont="1" applyFill="1" applyBorder="1" applyAlignment="1" applyProtection="1">
      <alignment horizontal="center" vertical="center" wrapText="1"/>
      <protection locked="0"/>
    </xf>
    <xf numFmtId="0" fontId="10" fillId="5" borderId="185" xfId="0" applyFont="1" applyFill="1" applyBorder="1" applyAlignment="1" applyProtection="1">
      <alignment horizontal="center" wrapText="1"/>
      <protection hidden="1"/>
    </xf>
    <xf numFmtId="0" fontId="10" fillId="5" borderId="182" xfId="0" applyFont="1" applyFill="1" applyBorder="1" applyAlignment="1" applyProtection="1">
      <alignment horizontal="center" wrapText="1"/>
      <protection hidden="1"/>
    </xf>
    <xf numFmtId="0" fontId="10" fillId="0" borderId="4" xfId="0" applyFont="1" applyFill="1" applyBorder="1" applyAlignment="1" applyProtection="1">
      <alignment vertical="center" wrapText="1"/>
      <protection hidden="1"/>
    </xf>
    <xf numFmtId="0" fontId="10" fillId="0" borderId="121" xfId="0" applyFont="1" applyFill="1" applyBorder="1" applyAlignment="1" applyProtection="1">
      <alignment vertical="center" wrapText="1"/>
      <protection hidden="1"/>
    </xf>
    <xf numFmtId="0" fontId="10" fillId="0" borderId="21" xfId="0" applyFont="1" applyBorder="1" applyAlignment="1" applyProtection="1">
      <alignment vertical="center" wrapText="1"/>
      <protection hidden="1"/>
    </xf>
    <xf numFmtId="0" fontId="10" fillId="0" borderId="4" xfId="0" applyFont="1" applyBorder="1" applyAlignment="1" applyProtection="1">
      <alignment vertical="center" wrapText="1"/>
      <protection hidden="1"/>
    </xf>
    <xf numFmtId="0" fontId="10" fillId="0" borderId="13" xfId="0" applyFont="1" applyFill="1" applyBorder="1" applyAlignment="1" applyProtection="1">
      <alignment vertical="center" wrapText="1"/>
      <protection hidden="1"/>
    </xf>
    <xf numFmtId="0" fontId="171" fillId="0" borderId="21" xfId="0" applyFont="1" applyBorder="1" applyAlignment="1" applyProtection="1">
      <alignment horizontal="center" vertical="center"/>
      <protection locked="0"/>
    </xf>
    <xf numFmtId="0" fontId="171" fillId="0" borderId="38" xfId="0" applyFont="1" applyBorder="1" applyAlignment="1" applyProtection="1">
      <alignment horizontal="center" vertical="center"/>
      <protection locked="0"/>
    </xf>
    <xf numFmtId="0" fontId="10" fillId="0" borderId="144" xfId="0" applyFont="1" applyBorder="1" applyAlignment="1" applyProtection="1">
      <alignment vertical="center" wrapText="1"/>
      <protection hidden="1"/>
    </xf>
    <xf numFmtId="0" fontId="10" fillId="0" borderId="2" xfId="0" applyFont="1" applyBorder="1" applyAlignment="1" applyProtection="1">
      <alignment vertical="center" wrapText="1"/>
      <protection hidden="1"/>
    </xf>
    <xf numFmtId="0" fontId="10" fillId="0" borderId="82" xfId="0" applyFont="1" applyBorder="1" applyAlignment="1" applyProtection="1">
      <alignment vertical="center" wrapText="1"/>
      <protection hidden="1"/>
    </xf>
    <xf numFmtId="0" fontId="10" fillId="0" borderId="7" xfId="0" applyFont="1" applyBorder="1" applyAlignment="1" applyProtection="1">
      <alignment vertical="center" wrapText="1"/>
      <protection hidden="1"/>
    </xf>
    <xf numFmtId="0" fontId="10" fillId="0" borderId="143" xfId="0" applyFont="1" applyFill="1" applyBorder="1" applyAlignment="1" applyProtection="1">
      <alignment vertical="center" wrapText="1"/>
      <protection hidden="1"/>
    </xf>
    <xf numFmtId="0" fontId="10" fillId="0" borderId="153" xfId="0" applyFont="1" applyFill="1" applyBorder="1" applyAlignment="1" applyProtection="1">
      <alignment horizontal="center" vertical="center"/>
      <protection hidden="1"/>
    </xf>
    <xf numFmtId="0" fontId="10" fillId="0" borderId="49" xfId="0" applyFont="1" applyFill="1" applyBorder="1" applyAlignment="1" applyProtection="1">
      <alignment horizontal="center" vertical="center"/>
      <protection hidden="1"/>
    </xf>
    <xf numFmtId="0" fontId="10" fillId="0" borderId="102" xfId="0" applyFont="1" applyFill="1" applyBorder="1" applyAlignment="1" applyProtection="1">
      <alignment horizontal="center" vertical="center"/>
      <protection hidden="1"/>
    </xf>
    <xf numFmtId="0" fontId="10" fillId="0" borderId="14" xfId="0" applyFont="1" applyFill="1" applyBorder="1" applyAlignment="1" applyProtection="1">
      <alignment horizontal="center" vertical="center"/>
      <protection hidden="1"/>
    </xf>
    <xf numFmtId="0" fontId="10" fillId="0" borderId="16" xfId="0" applyFont="1" applyFill="1" applyBorder="1" applyAlignment="1" applyProtection="1">
      <alignment horizontal="center" vertical="center"/>
      <protection hidden="1"/>
    </xf>
    <xf numFmtId="0" fontId="10" fillId="0" borderId="18" xfId="0" applyFont="1" applyFill="1" applyBorder="1" applyAlignment="1" applyProtection="1">
      <alignment horizontal="center" vertical="center"/>
      <protection hidden="1"/>
    </xf>
    <xf numFmtId="0" fontId="2" fillId="6" borderId="169" xfId="0" applyFont="1" applyFill="1" applyBorder="1" applyAlignment="1" applyProtection="1">
      <alignment horizontal="center" vertical="center"/>
      <protection hidden="1"/>
    </xf>
    <xf numFmtId="0" fontId="2" fillId="6" borderId="101" xfId="0" applyFont="1" applyFill="1" applyBorder="1" applyAlignment="1" applyProtection="1">
      <alignment horizontal="center" vertical="center"/>
      <protection hidden="1"/>
    </xf>
    <xf numFmtId="0" fontId="2" fillId="6" borderId="66" xfId="0" applyFont="1" applyFill="1" applyBorder="1" applyAlignment="1" applyProtection="1">
      <alignment horizontal="center" vertical="center"/>
      <protection hidden="1"/>
    </xf>
    <xf numFmtId="0" fontId="2" fillId="6" borderId="22" xfId="0" applyFont="1" applyFill="1" applyBorder="1" applyAlignment="1" applyProtection="1">
      <alignment horizontal="center" vertical="center"/>
      <protection hidden="1"/>
    </xf>
    <xf numFmtId="0" fontId="66" fillId="0" borderId="193" xfId="0" applyFont="1" applyBorder="1" applyAlignment="1" applyProtection="1">
      <alignment vertical="center" wrapText="1"/>
      <protection hidden="1"/>
    </xf>
    <xf numFmtId="0" fontId="66" fillId="0" borderId="57" xfId="0" applyFont="1" applyBorder="1" applyAlignment="1" applyProtection="1">
      <alignment vertical="center" wrapText="1"/>
      <protection hidden="1"/>
    </xf>
    <xf numFmtId="0" fontId="10" fillId="0" borderId="197" xfId="0" applyFont="1" applyBorder="1" applyAlignment="1" applyProtection="1">
      <alignment horizontal="center" vertical="center" wrapText="1"/>
      <protection hidden="1"/>
    </xf>
    <xf numFmtId="0" fontId="10" fillId="0" borderId="159" xfId="0" applyFont="1" applyBorder="1" applyAlignment="1" applyProtection="1">
      <alignment horizontal="center" vertical="center" wrapText="1"/>
      <protection hidden="1"/>
    </xf>
    <xf numFmtId="0" fontId="6" fillId="0" borderId="10" xfId="0" applyFont="1" applyFill="1" applyBorder="1" applyAlignment="1" applyProtection="1">
      <alignment horizontal="center" vertical="center" wrapText="1"/>
      <protection locked="0"/>
    </xf>
    <xf numFmtId="0" fontId="6" fillId="0" borderId="12" xfId="0" applyFont="1" applyFill="1" applyBorder="1" applyAlignment="1" applyProtection="1">
      <alignment horizontal="center" vertical="center" wrapText="1"/>
      <protection locked="0"/>
    </xf>
    <xf numFmtId="0" fontId="6" fillId="0" borderId="35" xfId="0" applyFont="1" applyBorder="1" applyAlignment="1" applyProtection="1">
      <alignment horizontal="center" vertical="center" wrapText="1"/>
      <protection locked="0"/>
    </xf>
    <xf numFmtId="0" fontId="2" fillId="5" borderId="26" xfId="0" applyFont="1" applyFill="1" applyBorder="1" applyAlignment="1" applyProtection="1">
      <alignment vertical="center" wrapText="1"/>
      <protection hidden="1"/>
    </xf>
    <xf numFmtId="0" fontId="2" fillId="5" borderId="27" xfId="0" applyFont="1" applyFill="1" applyBorder="1" applyAlignment="1" applyProtection="1">
      <alignment vertical="center" wrapText="1"/>
      <protection hidden="1"/>
    </xf>
    <xf numFmtId="0" fontId="2" fillId="5" borderId="124" xfId="0" applyFont="1" applyFill="1" applyBorder="1" applyAlignment="1" applyProtection="1">
      <alignment vertical="center" wrapText="1"/>
      <protection hidden="1"/>
    </xf>
    <xf numFmtId="0" fontId="10" fillId="0" borderId="191" xfId="0" applyFont="1" applyBorder="1" applyAlignment="1" applyProtection="1">
      <alignment horizontal="center" vertical="center" wrapText="1"/>
      <protection hidden="1"/>
    </xf>
    <xf numFmtId="0" fontId="10" fillId="0" borderId="164" xfId="0" applyFont="1" applyBorder="1" applyAlignment="1" applyProtection="1">
      <alignment horizontal="center" vertical="center" wrapText="1"/>
      <protection hidden="1"/>
    </xf>
    <xf numFmtId="0" fontId="87" fillId="0" borderId="21" xfId="0" applyFont="1" applyFill="1" applyBorder="1" applyAlignment="1" applyProtection="1">
      <alignment horizontal="center" vertical="center"/>
      <protection locked="0"/>
    </xf>
    <xf numFmtId="0" fontId="87" fillId="0" borderId="38"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wrapText="1"/>
      <protection locked="0"/>
    </xf>
    <xf numFmtId="0" fontId="104" fillId="0" borderId="33" xfId="0" applyFont="1" applyFill="1" applyBorder="1" applyAlignment="1" applyProtection="1">
      <alignment horizontal="center" vertical="center" wrapText="1"/>
      <protection locked="0"/>
    </xf>
    <xf numFmtId="166" fontId="104" fillId="0" borderId="10" xfId="0" applyNumberFormat="1" applyFont="1" applyFill="1" applyBorder="1" applyAlignment="1" applyProtection="1">
      <alignment horizontal="center" vertical="center" wrapText="1"/>
      <protection locked="0"/>
    </xf>
    <xf numFmtId="166" fontId="104" fillId="0" borderId="34" xfId="0" applyNumberFormat="1" applyFont="1" applyFill="1" applyBorder="1" applyAlignment="1" applyProtection="1">
      <alignment horizontal="center" vertical="center" wrapText="1"/>
      <protection locked="0"/>
    </xf>
    <xf numFmtId="0" fontId="2" fillId="5" borderId="24" xfId="0" applyFont="1" applyFill="1" applyBorder="1" applyAlignment="1" applyProtection="1">
      <alignment horizontal="left" vertical="center" wrapText="1"/>
      <protection hidden="1"/>
    </xf>
    <xf numFmtId="0" fontId="2" fillId="5" borderId="22" xfId="0" applyFont="1" applyFill="1" applyBorder="1" applyAlignment="1" applyProtection="1">
      <alignment horizontal="left" vertical="center" wrapText="1"/>
      <protection hidden="1"/>
    </xf>
    <xf numFmtId="0" fontId="67" fillId="0" borderId="64" xfId="0" applyFont="1" applyBorder="1" applyAlignment="1" applyProtection="1">
      <alignment vertical="center" wrapText="1"/>
      <protection hidden="1"/>
    </xf>
    <xf numFmtId="0" fontId="67" fillId="0" borderId="76" xfId="0" applyFont="1" applyBorder="1" applyAlignment="1" applyProtection="1">
      <alignment vertical="center" wrapText="1"/>
      <protection hidden="1"/>
    </xf>
    <xf numFmtId="0" fontId="14" fillId="3" borderId="201" xfId="0" applyFont="1" applyFill="1" applyBorder="1" applyAlignment="1" applyProtection="1">
      <alignment horizontal="center" vertical="center" wrapText="1"/>
      <protection hidden="1"/>
    </xf>
    <xf numFmtId="0" fontId="171" fillId="0" borderId="14" xfId="0" applyFont="1" applyBorder="1" applyAlignment="1" applyProtection="1">
      <alignment horizontal="center" vertical="center"/>
      <protection locked="0"/>
    </xf>
    <xf numFmtId="0" fontId="171" fillId="0" borderId="32" xfId="0" applyFont="1" applyBorder="1" applyAlignment="1" applyProtection="1">
      <alignment horizontal="center" vertical="center"/>
      <protection locked="0"/>
    </xf>
    <xf numFmtId="164" fontId="171" fillId="0" borderId="10" xfId="0" applyNumberFormat="1" applyFont="1" applyBorder="1" applyAlignment="1" applyProtection="1">
      <alignment horizontal="center" vertical="center"/>
      <protection locked="0"/>
    </xf>
    <xf numFmtId="164" fontId="171" fillId="0" borderId="34" xfId="0" applyNumberFormat="1" applyFont="1" applyBorder="1" applyAlignment="1" applyProtection="1">
      <alignment horizontal="center" vertical="center"/>
      <protection locked="0"/>
    </xf>
    <xf numFmtId="0" fontId="10" fillId="0" borderId="161" xfId="0" applyFont="1" applyBorder="1" applyAlignment="1" applyProtection="1">
      <alignment vertical="center" wrapText="1"/>
      <protection hidden="1"/>
    </xf>
    <xf numFmtId="0" fontId="10" fillId="0" borderId="155" xfId="0" applyFont="1" applyBorder="1" applyAlignment="1" applyProtection="1">
      <alignment vertical="center" wrapText="1"/>
      <protection hidden="1"/>
    </xf>
    <xf numFmtId="0" fontId="10" fillId="0" borderId="165" xfId="0" applyFont="1" applyBorder="1" applyAlignment="1" applyProtection="1">
      <alignment vertical="center" wrapText="1"/>
      <protection hidden="1"/>
    </xf>
    <xf numFmtId="0" fontId="10" fillId="0" borderId="194" xfId="0" applyFont="1" applyBorder="1" applyAlignment="1" applyProtection="1">
      <alignment vertical="center" wrapText="1"/>
      <protection hidden="1"/>
    </xf>
    <xf numFmtId="0" fontId="10" fillId="0" borderId="198" xfId="0" applyFont="1" applyBorder="1" applyAlignment="1" applyProtection="1">
      <alignment horizontal="center" vertical="center" wrapText="1"/>
      <protection hidden="1"/>
    </xf>
    <xf numFmtId="0" fontId="10" fillId="0" borderId="123" xfId="0" applyFont="1" applyFill="1" applyBorder="1" applyAlignment="1" applyProtection="1">
      <alignment horizontal="center" vertical="center" wrapText="1"/>
      <protection hidden="1"/>
    </xf>
    <xf numFmtId="0" fontId="10" fillId="0" borderId="89" xfId="0" applyFont="1" applyFill="1" applyBorder="1" applyAlignment="1" applyProtection="1">
      <alignment horizontal="center" vertical="center" wrapText="1"/>
      <protection hidden="1"/>
    </xf>
    <xf numFmtId="0" fontId="10" fillId="0" borderId="90" xfId="0" applyFont="1" applyFill="1" applyBorder="1" applyAlignment="1" applyProtection="1">
      <alignment horizontal="center" vertical="center" wrapText="1"/>
      <protection hidden="1"/>
    </xf>
    <xf numFmtId="0" fontId="10" fillId="0" borderId="9" xfId="0" applyFont="1" applyBorder="1" applyAlignment="1" applyProtection="1">
      <alignment vertical="center" wrapText="1"/>
      <protection hidden="1"/>
    </xf>
    <xf numFmtId="0" fontId="10" fillId="0" borderId="8" xfId="0" applyFont="1" applyBorder="1" applyAlignment="1" applyProtection="1">
      <alignment vertical="center" wrapText="1"/>
      <protection hidden="1"/>
    </xf>
    <xf numFmtId="0" fontId="10" fillId="0" borderId="23" xfId="0" applyFont="1" applyBorder="1" applyAlignment="1" applyProtection="1">
      <alignment vertical="center" wrapText="1"/>
      <protection hidden="1"/>
    </xf>
    <xf numFmtId="0" fontId="6" fillId="0" borderId="9" xfId="0" applyNumberFormat="1" applyFont="1" applyBorder="1" applyAlignment="1" applyProtection="1">
      <alignment horizontal="center" vertical="center" wrapText="1"/>
      <protection locked="0"/>
    </xf>
    <xf numFmtId="0" fontId="6" fillId="0" borderId="11" xfId="0" applyNumberFormat="1" applyFont="1" applyBorder="1" applyAlignment="1" applyProtection="1">
      <alignment horizontal="center" vertical="center" wrapText="1"/>
      <protection locked="0"/>
    </xf>
    <xf numFmtId="0" fontId="6" fillId="0" borderId="123" xfId="0" applyNumberFormat="1" applyFont="1" applyBorder="1" applyAlignment="1" applyProtection="1">
      <alignment horizontal="center" vertical="center" wrapText="1"/>
      <protection locked="0"/>
    </xf>
    <xf numFmtId="0" fontId="6" fillId="0" borderId="183" xfId="0" applyNumberFormat="1" applyFont="1" applyBorder="1" applyAlignment="1" applyProtection="1">
      <alignment horizontal="center" vertical="center" wrapText="1"/>
      <protection locked="0"/>
    </xf>
    <xf numFmtId="0" fontId="10" fillId="0" borderId="148" xfId="0" applyNumberFormat="1" applyFont="1" applyFill="1" applyBorder="1" applyAlignment="1" applyProtection="1">
      <alignment horizontal="center" vertical="center" wrapText="1"/>
      <protection hidden="1"/>
    </xf>
    <xf numFmtId="0" fontId="10" fillId="0" borderId="160" xfId="0" applyNumberFormat="1" applyFont="1" applyFill="1" applyBorder="1" applyAlignment="1" applyProtection="1">
      <alignment horizontal="center" vertical="center" wrapText="1"/>
      <protection hidden="1"/>
    </xf>
    <xf numFmtId="0" fontId="10" fillId="0" borderId="58" xfId="0" applyNumberFormat="1" applyFont="1" applyFill="1" applyBorder="1" applyAlignment="1" applyProtection="1">
      <alignment horizontal="center" vertical="center" wrapText="1"/>
      <protection hidden="1"/>
    </xf>
    <xf numFmtId="0" fontId="10" fillId="0" borderId="50" xfId="0" applyNumberFormat="1" applyFont="1" applyFill="1" applyBorder="1" applyAlignment="1" applyProtection="1">
      <alignment horizontal="center" vertical="center" wrapText="1"/>
      <protection hidden="1"/>
    </xf>
    <xf numFmtId="0" fontId="10" fillId="0" borderId="191" xfId="0" applyNumberFormat="1" applyFont="1" applyFill="1" applyBorder="1" applyAlignment="1" applyProtection="1">
      <alignment horizontal="center" vertical="center" wrapText="1"/>
      <protection hidden="1"/>
    </xf>
    <xf numFmtId="0" fontId="10" fillId="0" borderId="164" xfId="0" applyNumberFormat="1" applyFont="1" applyFill="1" applyBorder="1" applyAlignment="1" applyProtection="1">
      <alignment horizontal="center" vertical="center" wrapText="1"/>
      <protection hidden="1"/>
    </xf>
    <xf numFmtId="0" fontId="166" fillId="9" borderId="0" xfId="0" applyFont="1" applyFill="1" applyAlignment="1" applyProtection="1">
      <alignment vertical="center"/>
      <protection hidden="1"/>
    </xf>
    <xf numFmtId="0" fontId="42" fillId="4" borderId="34" xfId="0" applyNumberFormat="1" applyFont="1" applyFill="1" applyBorder="1" applyAlignment="1" applyProtection="1">
      <alignment horizontal="center" vertical="center" wrapText="1"/>
      <protection locked="0"/>
    </xf>
    <xf numFmtId="0" fontId="17" fillId="0" borderId="163" xfId="0" applyFont="1" applyFill="1" applyBorder="1" applyAlignment="1" applyProtection="1">
      <alignment vertical="center" wrapText="1"/>
      <protection hidden="1"/>
    </xf>
    <xf numFmtId="0" fontId="17" fillId="0" borderId="2" xfId="0" applyFont="1" applyFill="1" applyBorder="1" applyAlignment="1" applyProtection="1">
      <alignment vertical="center" wrapText="1"/>
      <protection hidden="1"/>
    </xf>
    <xf numFmtId="0" fontId="0" fillId="0" borderId="77" xfId="0" applyBorder="1" applyAlignment="1" applyProtection="1">
      <alignment horizontal="center" vertical="center"/>
      <protection hidden="1"/>
    </xf>
    <xf numFmtId="0" fontId="0" fillId="0" borderId="72" xfId="0" applyBorder="1" applyAlignment="1" applyProtection="1">
      <alignment horizontal="center" vertical="center"/>
      <protection hidden="1"/>
    </xf>
    <xf numFmtId="0" fontId="0" fillId="0" borderId="78" xfId="0" applyBorder="1" applyAlignment="1" applyProtection="1">
      <alignment horizontal="center" vertical="center"/>
      <protection hidden="1"/>
    </xf>
    <xf numFmtId="0" fontId="104" fillId="0" borderId="19" xfId="0" applyFont="1" applyFill="1" applyBorder="1" applyAlignment="1" applyProtection="1">
      <alignment horizontal="center" vertical="center" wrapText="1"/>
      <protection locked="0"/>
    </xf>
    <xf numFmtId="0" fontId="104" fillId="0" borderId="11" xfId="0" applyFont="1" applyFill="1" applyBorder="1" applyAlignment="1" applyProtection="1">
      <alignment horizontal="center" vertical="center" wrapText="1"/>
      <protection locked="0"/>
    </xf>
    <xf numFmtId="0" fontId="89" fillId="0" borderId="77" xfId="1" applyFont="1" applyBorder="1" applyAlignment="1" applyProtection="1">
      <alignment horizontal="center" vertical="center"/>
      <protection hidden="1"/>
    </xf>
    <xf numFmtId="0" fontId="89" fillId="0" borderId="72" xfId="1" applyFont="1" applyBorder="1" applyAlignment="1" applyProtection="1">
      <alignment horizontal="center" vertical="center"/>
      <protection hidden="1"/>
    </xf>
    <xf numFmtId="0" fontId="89" fillId="0" borderId="78" xfId="1" applyFont="1" applyBorder="1" applyAlignment="1" applyProtection="1">
      <alignment horizontal="center" vertical="center"/>
      <protection hidden="1"/>
    </xf>
    <xf numFmtId="0" fontId="3" fillId="0" borderId="0" xfId="2" applyFont="1" applyAlignment="1">
      <alignment vertical="center" wrapText="1"/>
    </xf>
    <xf numFmtId="0" fontId="1" fillId="0" borderId="0" xfId="2" applyFont="1" applyAlignment="1">
      <alignment vertical="center" wrapText="1"/>
    </xf>
    <xf numFmtId="0" fontId="3" fillId="0" borderId="227" xfId="0" applyFont="1" applyBorder="1" applyAlignment="1">
      <alignment vertical="center" wrapText="1"/>
    </xf>
    <xf numFmtId="0" fontId="3" fillId="0" borderId="230" xfId="0" applyFont="1" applyBorder="1" applyAlignment="1">
      <alignment vertical="center" wrapText="1"/>
    </xf>
    <xf numFmtId="0" fontId="3" fillId="0" borderId="233" xfId="0" applyFont="1" applyBorder="1" applyAlignment="1">
      <alignment vertical="center" wrapText="1"/>
    </xf>
    <xf numFmtId="0" fontId="3" fillId="0" borderId="228" xfId="0" applyFont="1" applyBorder="1" applyAlignment="1">
      <alignment vertical="center" wrapText="1"/>
    </xf>
    <xf numFmtId="0" fontId="3" fillId="0" borderId="231" xfId="0" applyFont="1" applyBorder="1" applyAlignment="1">
      <alignment vertical="center" wrapText="1"/>
    </xf>
    <xf numFmtId="0" fontId="3" fillId="0" borderId="222" xfId="0" applyFont="1" applyBorder="1" applyAlignment="1">
      <alignment vertical="center" wrapText="1"/>
    </xf>
    <xf numFmtId="0" fontId="3" fillId="0" borderId="229" xfId="0" applyFont="1" applyBorder="1" applyAlignment="1">
      <alignment vertical="center" wrapText="1"/>
    </xf>
    <xf numFmtId="0" fontId="3" fillId="0" borderId="232" xfId="0" applyFont="1" applyBorder="1" applyAlignment="1">
      <alignment vertical="center" wrapText="1"/>
    </xf>
    <xf numFmtId="0" fontId="3" fillId="0" borderId="223" xfId="0" applyFont="1" applyBorder="1" applyAlignment="1">
      <alignment vertical="center" wrapText="1"/>
    </xf>
    <xf numFmtId="0" fontId="3" fillId="0" borderId="236" xfId="0" applyFont="1" applyBorder="1" applyAlignment="1">
      <alignment vertical="center" wrapText="1"/>
    </xf>
    <xf numFmtId="0" fontId="3" fillId="0" borderId="237" xfId="0" applyFont="1" applyBorder="1" applyAlignment="1">
      <alignment vertical="center" wrapText="1"/>
    </xf>
    <xf numFmtId="0" fontId="3" fillId="0" borderId="238" xfId="0" applyFont="1" applyBorder="1" applyAlignment="1">
      <alignment vertical="center" wrapText="1"/>
    </xf>
    <xf numFmtId="0" fontId="3" fillId="0" borderId="169" xfId="0" applyFont="1" applyBorder="1" applyAlignment="1">
      <alignment horizontal="center" vertical="center" wrapText="1"/>
    </xf>
    <xf numFmtId="0" fontId="3" fillId="0" borderId="224" xfId="0" applyFont="1" applyBorder="1" applyAlignment="1">
      <alignment horizontal="center" vertical="center" wrapText="1"/>
    </xf>
    <xf numFmtId="0" fontId="3" fillId="0" borderId="225" xfId="0" applyFont="1" applyBorder="1" applyAlignment="1">
      <alignment horizontal="center" vertical="center" wrapText="1"/>
    </xf>
    <xf numFmtId="0" fontId="3" fillId="0" borderId="96" xfId="0" applyFont="1" applyBorder="1" applyAlignment="1">
      <alignment horizontal="center" vertical="center" wrapText="1"/>
    </xf>
    <xf numFmtId="0" fontId="3" fillId="0" borderId="64" xfId="0" applyFont="1" applyBorder="1" applyAlignment="1">
      <alignment horizontal="center" vertical="center" wrapText="1"/>
    </xf>
    <xf numFmtId="0" fontId="3" fillId="0" borderId="226" xfId="0" applyFont="1" applyBorder="1" applyAlignment="1">
      <alignment horizontal="center" vertical="center" wrapText="1"/>
    </xf>
    <xf numFmtId="0" fontId="14" fillId="3" borderId="209" xfId="0" applyFont="1" applyFill="1" applyBorder="1" applyAlignment="1">
      <alignment horizontal="center" vertical="center" wrapText="1"/>
    </xf>
    <xf numFmtId="0" fontId="14" fillId="3" borderId="214" xfId="0" applyFont="1" applyFill="1" applyBorder="1" applyAlignment="1">
      <alignment horizontal="center" vertical="center" wrapText="1"/>
    </xf>
    <xf numFmtId="0" fontId="14" fillId="3" borderId="219" xfId="0" applyFont="1" applyFill="1" applyBorder="1" applyAlignment="1">
      <alignment horizontal="center" vertical="center" wrapText="1"/>
    </xf>
    <xf numFmtId="0" fontId="14" fillId="3" borderId="210" xfId="0" applyFont="1" applyFill="1" applyBorder="1" applyAlignment="1">
      <alignment horizontal="center" vertical="center" wrapText="1"/>
    </xf>
    <xf numFmtId="0" fontId="14" fillId="3" borderId="215" xfId="0" applyFont="1" applyFill="1" applyBorder="1" applyAlignment="1">
      <alignment horizontal="center" vertical="center" wrapText="1"/>
    </xf>
    <xf numFmtId="0" fontId="14" fillId="3" borderId="220" xfId="0" applyFont="1" applyFill="1" applyBorder="1" applyAlignment="1">
      <alignment horizontal="center" vertical="center" wrapText="1"/>
    </xf>
    <xf numFmtId="0" fontId="14" fillId="3" borderId="211" xfId="0" applyFont="1" applyFill="1" applyBorder="1" applyAlignment="1">
      <alignment horizontal="center" vertical="center" wrapText="1"/>
    </xf>
    <xf numFmtId="0" fontId="14" fillId="3" borderId="212" xfId="0" applyFont="1" applyFill="1" applyBorder="1" applyAlignment="1">
      <alignment horizontal="center" vertical="center" wrapText="1"/>
    </xf>
    <xf numFmtId="0" fontId="14" fillId="3" borderId="213" xfId="0" applyFont="1" applyFill="1" applyBorder="1" applyAlignment="1">
      <alignment horizontal="center" vertical="center" wrapText="1"/>
    </xf>
    <xf numFmtId="0" fontId="3" fillId="3" borderId="217" xfId="0" applyFont="1" applyFill="1" applyBorder="1" applyAlignment="1">
      <alignment horizontal="center" vertical="center" wrapText="1"/>
    </xf>
    <xf numFmtId="0" fontId="3" fillId="3" borderId="222" xfId="0" applyFont="1" applyFill="1" applyBorder="1" applyAlignment="1">
      <alignment horizontal="center" vertical="center" wrapText="1"/>
    </xf>
    <xf numFmtId="0" fontId="3" fillId="3" borderId="218" xfId="0" applyFont="1" applyFill="1" applyBorder="1" applyAlignment="1">
      <alignment horizontal="center" vertical="center" wrapText="1"/>
    </xf>
    <xf numFmtId="0" fontId="3" fillId="3" borderId="223" xfId="0" applyFont="1" applyFill="1" applyBorder="1" applyAlignment="1">
      <alignment horizontal="center" vertical="center" wrapText="1"/>
    </xf>
    <xf numFmtId="0" fontId="138" fillId="0" borderId="0" xfId="0" applyFont="1" applyAlignment="1">
      <alignment wrapText="1"/>
    </xf>
    <xf numFmtId="0" fontId="98" fillId="20" borderId="280" xfId="0" applyFont="1" applyFill="1" applyBorder="1" applyAlignment="1" applyProtection="1">
      <alignment horizontal="center" vertical="center" wrapText="1"/>
      <protection hidden="1"/>
    </xf>
    <xf numFmtId="0" fontId="98" fillId="20" borderId="98" xfId="0" applyFont="1" applyFill="1" applyBorder="1" applyAlignment="1" applyProtection="1">
      <alignment horizontal="center" vertical="center" wrapText="1"/>
      <protection hidden="1"/>
    </xf>
    <xf numFmtId="0" fontId="98" fillId="20" borderId="281" xfId="0" applyFont="1" applyFill="1" applyBorder="1" applyAlignment="1" applyProtection="1">
      <alignment horizontal="center" vertical="center" wrapText="1"/>
      <protection hidden="1"/>
    </xf>
  </cellXfs>
  <cellStyles count="4">
    <cellStyle name="Hyperkobling" xfId="1" builtinId="8"/>
    <cellStyle name="Normal" xfId="0" builtinId="0"/>
    <cellStyle name="Normal 2" xfId="2"/>
    <cellStyle name="Normal 3" xfId="3"/>
  </cellStyles>
  <dxfs count="0"/>
  <tableStyles count="0" defaultTableStyle="TableStyleMedium9" defaultPivotStyle="PivotStyleLight16"/>
  <colors>
    <mruColors>
      <color rgb="FF3333CC"/>
      <color rgb="FFEBFFFF"/>
      <color rgb="FFFFFFCC"/>
      <color rgb="FF3333FF"/>
      <color rgb="FFFFF3FF"/>
      <color rgb="FFF0F5FA"/>
      <color rgb="FFFEE9E6"/>
      <color rgb="FFFFEBFF"/>
      <color rgb="FFCCFFFF"/>
      <color rgb="FF00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1.wmf"/><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1.wmf"/></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15</xdr:row>
      <xdr:rowOff>838200</xdr:rowOff>
    </xdr:from>
    <xdr:to>
      <xdr:col>1</xdr:col>
      <xdr:colOff>581024</xdr:colOff>
      <xdr:row>17</xdr:row>
      <xdr:rowOff>0</xdr:rowOff>
    </xdr:to>
    <xdr:pic>
      <xdr:nvPicPr>
        <xdr:cNvPr id="3" name="Bilde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48275" y="8601075"/>
          <a:ext cx="504824" cy="285750"/>
        </a:xfrm>
        <a:prstGeom prst="rect">
          <a:avLst/>
        </a:prstGeom>
        <a:noFill/>
        <a:ln>
          <a:noFill/>
        </a:ln>
      </xdr:spPr>
    </xdr:pic>
    <xdr:clientData/>
  </xdr:twoCellAnchor>
  <xdr:twoCellAnchor editAs="oneCell">
    <xdr:from>
      <xdr:col>0</xdr:col>
      <xdr:colOff>38100</xdr:colOff>
      <xdr:row>10</xdr:row>
      <xdr:rowOff>208521</xdr:rowOff>
    </xdr:from>
    <xdr:to>
      <xdr:col>1</xdr:col>
      <xdr:colOff>571500</xdr:colOff>
      <xdr:row>15</xdr:row>
      <xdr:rowOff>12273</xdr:rowOff>
    </xdr:to>
    <xdr:pic>
      <xdr:nvPicPr>
        <xdr:cNvPr id="4" name="Bild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 y="5609196"/>
          <a:ext cx="5705475" cy="2165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46</xdr:row>
      <xdr:rowOff>2676</xdr:rowOff>
    </xdr:from>
    <xdr:to>
      <xdr:col>12</xdr:col>
      <xdr:colOff>4765</xdr:colOff>
      <xdr:row>51</xdr:row>
      <xdr:rowOff>9525</xdr:rowOff>
    </xdr:to>
    <xdr:pic>
      <xdr:nvPicPr>
        <xdr:cNvPr id="2" name="Bild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279776"/>
          <a:ext cx="5643565" cy="854574"/>
        </a:xfrm>
        <a:prstGeom prst="rect">
          <a:avLst/>
        </a:prstGeom>
      </xdr:spPr>
    </xdr:pic>
    <xdr:clientData/>
  </xdr:twoCellAnchor>
  <xdr:twoCellAnchor>
    <xdr:from>
      <xdr:col>13</xdr:col>
      <xdr:colOff>225136</xdr:colOff>
      <xdr:row>50</xdr:row>
      <xdr:rowOff>138546</xdr:rowOff>
    </xdr:from>
    <xdr:to>
      <xdr:col>13</xdr:col>
      <xdr:colOff>524812</xdr:colOff>
      <xdr:row>50</xdr:row>
      <xdr:rowOff>212147</xdr:rowOff>
    </xdr:to>
    <xdr:sp macro="" textlink="">
      <xdr:nvSpPr>
        <xdr:cNvPr id="3" name="TekstSylinder 2"/>
        <xdr:cNvSpPr txBox="1"/>
      </xdr:nvSpPr>
      <xdr:spPr>
        <a:xfrm>
          <a:off x="6406861" y="8044296"/>
          <a:ext cx="299676" cy="736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GB" sz="500"/>
            <a:t>April-2014</a:t>
          </a:r>
        </a:p>
      </xdr:txBody>
    </xdr:sp>
    <xdr:clientData/>
  </xdr:twoCellAnchor>
  <xdr:twoCellAnchor editAs="oneCell">
    <xdr:from>
      <xdr:col>13</xdr:col>
      <xdr:colOff>231689</xdr:colOff>
      <xdr:row>49</xdr:row>
      <xdr:rowOff>169203</xdr:rowOff>
    </xdr:from>
    <xdr:to>
      <xdr:col>13</xdr:col>
      <xdr:colOff>532888</xdr:colOff>
      <xdr:row>50</xdr:row>
      <xdr:rowOff>102035</xdr:rowOff>
    </xdr:to>
    <xdr:pic>
      <xdr:nvPicPr>
        <xdr:cNvPr id="4" name="Bilde 3"/>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13414" y="7865403"/>
          <a:ext cx="301199" cy="142382"/>
        </a:xfrm>
        <a:prstGeom prst="rect">
          <a:avLst/>
        </a:prstGeom>
        <a:noFill/>
        <a:ln>
          <a:noFill/>
        </a:ln>
      </xdr:spPr>
    </xdr:pic>
    <xdr:clientData/>
  </xdr:twoCellAnchor>
  <xdr:twoCellAnchor>
    <xdr:from>
      <xdr:col>6</xdr:col>
      <xdr:colOff>523875</xdr:colOff>
      <xdr:row>45</xdr:row>
      <xdr:rowOff>25977</xdr:rowOff>
    </xdr:from>
    <xdr:to>
      <xdr:col>7</xdr:col>
      <xdr:colOff>54953</xdr:colOff>
      <xdr:row>45</xdr:row>
      <xdr:rowOff>186096</xdr:rowOff>
    </xdr:to>
    <xdr:sp macro="" textlink="">
      <xdr:nvSpPr>
        <xdr:cNvPr id="5" name="TekstSylinder 4"/>
        <xdr:cNvSpPr txBox="1"/>
      </xdr:nvSpPr>
      <xdr:spPr>
        <a:xfrm>
          <a:off x="3429000" y="7064952"/>
          <a:ext cx="93053" cy="160119"/>
        </a:xfrm>
        <a:prstGeom prst="rect">
          <a:avLst/>
        </a:prstGeom>
        <a:solidFill>
          <a:srgbClr val="EB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algn="ctr"/>
          <a:r>
            <a:rPr lang="en-GB" sz="1000" b="1"/>
            <a:t>-</a:t>
          </a:r>
        </a:p>
      </xdr:txBody>
    </xdr:sp>
    <xdr:clientData/>
  </xdr:twoCellAnchor>
  <xdr:twoCellAnchor>
    <xdr:from>
      <xdr:col>7</xdr:col>
      <xdr:colOff>458933</xdr:colOff>
      <xdr:row>45</xdr:row>
      <xdr:rowOff>30307</xdr:rowOff>
    </xdr:from>
    <xdr:to>
      <xdr:col>8</xdr:col>
      <xdr:colOff>46295</xdr:colOff>
      <xdr:row>45</xdr:row>
      <xdr:rowOff>190426</xdr:rowOff>
    </xdr:to>
    <xdr:sp macro="" textlink="">
      <xdr:nvSpPr>
        <xdr:cNvPr id="6" name="TekstSylinder 5"/>
        <xdr:cNvSpPr txBox="1"/>
      </xdr:nvSpPr>
      <xdr:spPr>
        <a:xfrm>
          <a:off x="3926033" y="7069282"/>
          <a:ext cx="101712" cy="160119"/>
        </a:xfrm>
        <a:prstGeom prst="rect">
          <a:avLst/>
        </a:prstGeom>
        <a:solidFill>
          <a:srgbClr val="EB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algn="ctr"/>
          <a:r>
            <a:rPr lang="en-GB" sz="1000" b="1"/>
            <a:t>-</a:t>
          </a:r>
        </a:p>
      </xdr:txBody>
    </xdr:sp>
    <xdr:clientData/>
  </xdr:twoCellAnchor>
  <xdr:twoCellAnchor editAs="oneCell">
    <xdr:from>
      <xdr:col>0</xdr:col>
      <xdr:colOff>86310</xdr:colOff>
      <xdr:row>51</xdr:row>
      <xdr:rowOff>29159</xdr:rowOff>
    </xdr:from>
    <xdr:to>
      <xdr:col>6</xdr:col>
      <xdr:colOff>409575</xdr:colOff>
      <xdr:row>62</xdr:row>
      <xdr:rowOff>152400</xdr:rowOff>
    </xdr:to>
    <xdr:pic>
      <xdr:nvPicPr>
        <xdr:cNvPr id="7" name="Bilde 6"/>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310" y="8153984"/>
          <a:ext cx="3228390" cy="2037766"/>
        </a:xfrm>
        <a:prstGeom prst="rect">
          <a:avLst/>
        </a:prstGeom>
      </xdr:spPr>
    </xdr:pic>
    <xdr:clientData/>
  </xdr:twoCellAnchor>
  <xdr:twoCellAnchor>
    <xdr:from>
      <xdr:col>11</xdr:col>
      <xdr:colOff>311020</xdr:colOff>
      <xdr:row>23</xdr:row>
      <xdr:rowOff>29158</xdr:rowOff>
    </xdr:from>
    <xdr:to>
      <xdr:col>12</xdr:col>
      <xdr:colOff>9719</xdr:colOff>
      <xdr:row>24</xdr:row>
      <xdr:rowOff>58317</xdr:rowOff>
    </xdr:to>
    <xdr:sp macro="" textlink="">
      <xdr:nvSpPr>
        <xdr:cNvPr id="8" name="TekstSylinder 7"/>
        <xdr:cNvSpPr txBox="1"/>
      </xdr:nvSpPr>
      <xdr:spPr>
        <a:xfrm>
          <a:off x="5444995" y="3705808"/>
          <a:ext cx="203524" cy="1625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GB" sz="1100">
              <a:latin typeface="Calibri"/>
            </a:rPr>
            <a:t>→</a:t>
          </a:r>
          <a:endParaRPr lang="en-GB" sz="1100"/>
        </a:p>
      </xdr:txBody>
    </xdr:sp>
    <xdr:clientData/>
  </xdr:twoCellAnchor>
  <xdr:twoCellAnchor>
    <xdr:from>
      <xdr:col>8</xdr:col>
      <xdr:colOff>58316</xdr:colOff>
      <xdr:row>11</xdr:row>
      <xdr:rowOff>77755</xdr:rowOff>
    </xdr:from>
    <xdr:to>
      <xdr:col>8</xdr:col>
      <xdr:colOff>505408</xdr:colOff>
      <xdr:row>13</xdr:row>
      <xdr:rowOff>0</xdr:rowOff>
    </xdr:to>
    <xdr:sp macro="" textlink="">
      <xdr:nvSpPr>
        <xdr:cNvPr id="9" name="Ellipse 8"/>
        <xdr:cNvSpPr/>
      </xdr:nvSpPr>
      <xdr:spPr>
        <a:xfrm>
          <a:off x="4039766" y="1963705"/>
          <a:ext cx="447092" cy="22704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36545</xdr:colOff>
      <xdr:row>21</xdr:row>
      <xdr:rowOff>94084</xdr:rowOff>
    </xdr:from>
    <xdr:to>
      <xdr:col>11</xdr:col>
      <xdr:colOff>480526</xdr:colOff>
      <xdr:row>23</xdr:row>
      <xdr:rowOff>16328</xdr:rowOff>
    </xdr:to>
    <xdr:sp macro="" textlink="">
      <xdr:nvSpPr>
        <xdr:cNvPr id="10" name="Ellipse 9"/>
        <xdr:cNvSpPr/>
      </xdr:nvSpPr>
      <xdr:spPr>
        <a:xfrm>
          <a:off x="5170520" y="3465934"/>
          <a:ext cx="443981" cy="227044"/>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22937</xdr:colOff>
      <xdr:row>25</xdr:row>
      <xdr:rowOff>100693</xdr:rowOff>
    </xdr:from>
    <xdr:to>
      <xdr:col>7</xdr:col>
      <xdr:colOff>470029</xdr:colOff>
      <xdr:row>27</xdr:row>
      <xdr:rowOff>22937</xdr:rowOff>
    </xdr:to>
    <xdr:sp macro="" textlink="">
      <xdr:nvSpPr>
        <xdr:cNvPr id="11" name="Ellipse 10"/>
        <xdr:cNvSpPr/>
      </xdr:nvSpPr>
      <xdr:spPr>
        <a:xfrm>
          <a:off x="3490037" y="4091668"/>
          <a:ext cx="447092" cy="227044"/>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30130</xdr:colOff>
      <xdr:row>29</xdr:row>
      <xdr:rowOff>97777</xdr:rowOff>
    </xdr:from>
    <xdr:to>
      <xdr:col>7</xdr:col>
      <xdr:colOff>477222</xdr:colOff>
      <xdr:row>31</xdr:row>
      <xdr:rowOff>20021</xdr:rowOff>
    </xdr:to>
    <xdr:sp macro="" textlink="">
      <xdr:nvSpPr>
        <xdr:cNvPr id="12" name="Ellipse 11"/>
        <xdr:cNvSpPr/>
      </xdr:nvSpPr>
      <xdr:spPr>
        <a:xfrm>
          <a:off x="3497230" y="4698352"/>
          <a:ext cx="447092" cy="227044"/>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55594</xdr:colOff>
      <xdr:row>33</xdr:row>
      <xdr:rowOff>84753</xdr:rowOff>
    </xdr:from>
    <xdr:to>
      <xdr:col>7</xdr:col>
      <xdr:colOff>502686</xdr:colOff>
      <xdr:row>35</xdr:row>
      <xdr:rowOff>6997</xdr:rowOff>
    </xdr:to>
    <xdr:sp macro="" textlink="">
      <xdr:nvSpPr>
        <xdr:cNvPr id="13" name="Ellipse 12"/>
        <xdr:cNvSpPr/>
      </xdr:nvSpPr>
      <xdr:spPr>
        <a:xfrm>
          <a:off x="3522694" y="5294928"/>
          <a:ext cx="447092" cy="227044"/>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62204</xdr:colOff>
      <xdr:row>35</xdr:row>
      <xdr:rowOff>130240</xdr:rowOff>
    </xdr:from>
    <xdr:to>
      <xdr:col>6</xdr:col>
      <xdr:colOff>509296</xdr:colOff>
      <xdr:row>37</xdr:row>
      <xdr:rowOff>52485</xdr:rowOff>
    </xdr:to>
    <xdr:sp macro="" textlink="">
      <xdr:nvSpPr>
        <xdr:cNvPr id="14" name="Ellipse 13"/>
        <xdr:cNvSpPr/>
      </xdr:nvSpPr>
      <xdr:spPr>
        <a:xfrm>
          <a:off x="2967329" y="5645215"/>
          <a:ext cx="447092" cy="22704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107691</xdr:colOff>
      <xdr:row>39</xdr:row>
      <xdr:rowOff>107691</xdr:rowOff>
    </xdr:from>
    <xdr:to>
      <xdr:col>4</xdr:col>
      <xdr:colOff>554783</xdr:colOff>
      <xdr:row>41</xdr:row>
      <xdr:rowOff>29935</xdr:rowOff>
    </xdr:to>
    <xdr:sp macro="" textlink="">
      <xdr:nvSpPr>
        <xdr:cNvPr id="15" name="Ellipse 14"/>
        <xdr:cNvSpPr/>
      </xdr:nvSpPr>
      <xdr:spPr>
        <a:xfrm>
          <a:off x="1841241" y="6232266"/>
          <a:ext cx="447092" cy="227044"/>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124020</xdr:colOff>
      <xdr:row>37</xdr:row>
      <xdr:rowOff>85142</xdr:rowOff>
    </xdr:from>
    <xdr:to>
      <xdr:col>4</xdr:col>
      <xdr:colOff>571112</xdr:colOff>
      <xdr:row>39</xdr:row>
      <xdr:rowOff>7387</xdr:rowOff>
    </xdr:to>
    <xdr:sp macro="" textlink="">
      <xdr:nvSpPr>
        <xdr:cNvPr id="16" name="Ellipse 15"/>
        <xdr:cNvSpPr/>
      </xdr:nvSpPr>
      <xdr:spPr>
        <a:xfrm>
          <a:off x="1857570" y="5904917"/>
          <a:ext cx="447092" cy="22704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29157</xdr:colOff>
      <xdr:row>15</xdr:row>
      <xdr:rowOff>87474</xdr:rowOff>
    </xdr:from>
    <xdr:to>
      <xdr:col>7</xdr:col>
      <xdr:colOff>476249</xdr:colOff>
      <xdr:row>17</xdr:row>
      <xdr:rowOff>48597</xdr:rowOff>
    </xdr:to>
    <xdr:sp macro="" textlink="">
      <xdr:nvSpPr>
        <xdr:cNvPr id="17" name="Ellipse 16"/>
        <xdr:cNvSpPr/>
      </xdr:nvSpPr>
      <xdr:spPr>
        <a:xfrm>
          <a:off x="3496257" y="2583024"/>
          <a:ext cx="447092" cy="227823"/>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45486</xdr:colOff>
      <xdr:row>2</xdr:row>
      <xdr:rowOff>126352</xdr:rowOff>
    </xdr:from>
    <xdr:to>
      <xdr:col>4</xdr:col>
      <xdr:colOff>592883</xdr:colOff>
      <xdr:row>4</xdr:row>
      <xdr:rowOff>58316</xdr:rowOff>
    </xdr:to>
    <xdr:sp macro="" textlink="">
      <xdr:nvSpPr>
        <xdr:cNvPr id="18" name="Ellipse 17"/>
        <xdr:cNvSpPr/>
      </xdr:nvSpPr>
      <xdr:spPr>
        <a:xfrm>
          <a:off x="1779036" y="469252"/>
          <a:ext cx="547397" cy="274864"/>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71535</xdr:colOff>
      <xdr:row>9</xdr:row>
      <xdr:rowOff>149290</xdr:rowOff>
    </xdr:from>
    <xdr:to>
      <xdr:col>5</xdr:col>
      <xdr:colOff>518627</xdr:colOff>
      <xdr:row>11</xdr:row>
      <xdr:rowOff>32657</xdr:rowOff>
    </xdr:to>
    <xdr:sp macro="" textlink="">
      <xdr:nvSpPr>
        <xdr:cNvPr id="19" name="Ellipse 18"/>
        <xdr:cNvSpPr/>
      </xdr:nvSpPr>
      <xdr:spPr>
        <a:xfrm>
          <a:off x="2414685" y="1692340"/>
          <a:ext cx="447092" cy="226267"/>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77755</xdr:colOff>
      <xdr:row>33</xdr:row>
      <xdr:rowOff>87474</xdr:rowOff>
    </xdr:from>
    <xdr:to>
      <xdr:col>6</xdr:col>
      <xdr:colOff>524847</xdr:colOff>
      <xdr:row>35</xdr:row>
      <xdr:rowOff>9718</xdr:rowOff>
    </xdr:to>
    <xdr:sp macro="" textlink="">
      <xdr:nvSpPr>
        <xdr:cNvPr id="20" name="Ellipse 19"/>
        <xdr:cNvSpPr/>
      </xdr:nvSpPr>
      <xdr:spPr>
        <a:xfrm>
          <a:off x="2982880" y="5297649"/>
          <a:ext cx="447092" cy="227044"/>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38878</xdr:colOff>
      <xdr:row>27</xdr:row>
      <xdr:rowOff>97194</xdr:rowOff>
    </xdr:from>
    <xdr:to>
      <xdr:col>8</xdr:col>
      <xdr:colOff>485970</xdr:colOff>
      <xdr:row>29</xdr:row>
      <xdr:rowOff>19439</xdr:rowOff>
    </xdr:to>
    <xdr:sp macro="" textlink="">
      <xdr:nvSpPr>
        <xdr:cNvPr id="21" name="Ellipse 20"/>
        <xdr:cNvSpPr/>
      </xdr:nvSpPr>
      <xdr:spPr>
        <a:xfrm>
          <a:off x="4020328" y="4392969"/>
          <a:ext cx="447092" cy="22704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77755</xdr:colOff>
      <xdr:row>15</xdr:row>
      <xdr:rowOff>77754</xdr:rowOff>
    </xdr:from>
    <xdr:to>
      <xdr:col>6</xdr:col>
      <xdr:colOff>524847</xdr:colOff>
      <xdr:row>17</xdr:row>
      <xdr:rowOff>38877</xdr:rowOff>
    </xdr:to>
    <xdr:sp macro="" textlink="">
      <xdr:nvSpPr>
        <xdr:cNvPr id="22" name="Ellipse 21"/>
        <xdr:cNvSpPr/>
      </xdr:nvSpPr>
      <xdr:spPr>
        <a:xfrm>
          <a:off x="2982880" y="2573304"/>
          <a:ext cx="447092" cy="227823"/>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20994</xdr:colOff>
      <xdr:row>35</xdr:row>
      <xdr:rowOff>106719</xdr:rowOff>
    </xdr:from>
    <xdr:to>
      <xdr:col>7</xdr:col>
      <xdr:colOff>468086</xdr:colOff>
      <xdr:row>37</xdr:row>
      <xdr:rowOff>28963</xdr:rowOff>
    </xdr:to>
    <xdr:sp macro="" textlink="">
      <xdr:nvSpPr>
        <xdr:cNvPr id="23" name="Ellipse 22"/>
        <xdr:cNvSpPr/>
      </xdr:nvSpPr>
      <xdr:spPr>
        <a:xfrm>
          <a:off x="3488094" y="5621694"/>
          <a:ext cx="447092" cy="227044"/>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438538</xdr:colOff>
      <xdr:row>46</xdr:row>
      <xdr:rowOff>0</xdr:rowOff>
    </xdr:from>
    <xdr:to>
      <xdr:col>8</xdr:col>
      <xdr:colOff>293525</xdr:colOff>
      <xdr:row>47</xdr:row>
      <xdr:rowOff>77755</xdr:rowOff>
    </xdr:to>
    <xdr:sp macro="" textlink="">
      <xdr:nvSpPr>
        <xdr:cNvPr id="24" name="Ellipse 23"/>
        <xdr:cNvSpPr/>
      </xdr:nvSpPr>
      <xdr:spPr>
        <a:xfrm>
          <a:off x="3905638" y="7277100"/>
          <a:ext cx="369337" cy="18253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254258</xdr:colOff>
      <xdr:row>45</xdr:row>
      <xdr:rowOff>210910</xdr:rowOff>
    </xdr:from>
    <xdr:to>
      <xdr:col>2</xdr:col>
      <xdr:colOff>52095</xdr:colOff>
      <xdr:row>47</xdr:row>
      <xdr:rowOff>45681</xdr:rowOff>
    </xdr:to>
    <xdr:sp macro="" textlink="">
      <xdr:nvSpPr>
        <xdr:cNvPr id="25" name="Ellipse 24"/>
        <xdr:cNvSpPr/>
      </xdr:nvSpPr>
      <xdr:spPr>
        <a:xfrm>
          <a:off x="406658" y="7249885"/>
          <a:ext cx="369337" cy="177671"/>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225980</xdr:colOff>
      <xdr:row>51</xdr:row>
      <xdr:rowOff>188580</xdr:rowOff>
    </xdr:from>
    <xdr:to>
      <xdr:col>19</xdr:col>
      <xdr:colOff>451234</xdr:colOff>
      <xdr:row>52</xdr:row>
      <xdr:rowOff>148827</xdr:rowOff>
    </xdr:to>
    <xdr:pic>
      <xdr:nvPicPr>
        <xdr:cNvPr id="2" name="Bilde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6180" y="6570330"/>
          <a:ext cx="225254" cy="150747"/>
        </a:xfrm>
        <a:prstGeom prst="rect">
          <a:avLst/>
        </a:prstGeom>
        <a:noFill/>
        <a:ln>
          <a:noFill/>
        </a:ln>
      </xdr:spPr>
    </xdr:pic>
    <xdr:clientData/>
  </xdr:twoCellAnchor>
  <xdr:twoCellAnchor>
    <xdr:from>
      <xdr:col>13</xdr:col>
      <xdr:colOff>221512</xdr:colOff>
      <xdr:row>77</xdr:row>
      <xdr:rowOff>11340</xdr:rowOff>
    </xdr:from>
    <xdr:to>
      <xdr:col>13</xdr:col>
      <xdr:colOff>487326</xdr:colOff>
      <xdr:row>84</xdr:row>
      <xdr:rowOff>1</xdr:rowOff>
    </xdr:to>
    <xdr:sp macro="" textlink="">
      <xdr:nvSpPr>
        <xdr:cNvPr id="3" name="TekstSylinder 2"/>
        <xdr:cNvSpPr txBox="1"/>
      </xdr:nvSpPr>
      <xdr:spPr>
        <a:xfrm>
          <a:off x="6936637" y="11250840"/>
          <a:ext cx="265814" cy="1322161"/>
        </a:xfrm>
        <a:prstGeom prst="rect">
          <a:avLst/>
        </a:prstGeom>
        <a:solidFill>
          <a:srgbClr val="FFFFE1"/>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nb-NO" sz="900"/>
            <a:t>Joint conditions</a:t>
          </a:r>
        </a:p>
      </xdr:txBody>
    </xdr:sp>
    <xdr:clientData/>
  </xdr:twoCellAnchor>
  <xdr:twoCellAnchor editAs="oneCell">
    <xdr:from>
      <xdr:col>1</xdr:col>
      <xdr:colOff>85990</xdr:colOff>
      <xdr:row>48</xdr:row>
      <xdr:rowOff>2</xdr:rowOff>
    </xdr:from>
    <xdr:to>
      <xdr:col>11</xdr:col>
      <xdr:colOff>3968</xdr:colOff>
      <xdr:row>53</xdr:row>
      <xdr:rowOff>5320</xdr:rowOff>
    </xdr:to>
    <xdr:pic>
      <xdr:nvPicPr>
        <xdr:cNvPr id="4" name="Bild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6015" y="5905502"/>
          <a:ext cx="5328178" cy="891143"/>
        </a:xfrm>
        <a:prstGeom prst="rect">
          <a:avLst/>
        </a:prstGeom>
      </xdr:spPr>
    </xdr:pic>
    <xdr:clientData/>
  </xdr:twoCellAnchor>
  <xdr:twoCellAnchor>
    <xdr:from>
      <xdr:col>13</xdr:col>
      <xdr:colOff>227050</xdr:colOff>
      <xdr:row>76</xdr:row>
      <xdr:rowOff>171671</xdr:rowOff>
    </xdr:from>
    <xdr:to>
      <xdr:col>13</xdr:col>
      <xdr:colOff>238125</xdr:colOff>
      <xdr:row>84</xdr:row>
      <xdr:rowOff>0</xdr:rowOff>
    </xdr:to>
    <xdr:cxnSp macro="">
      <xdr:nvCxnSpPr>
        <xdr:cNvPr id="5" name="Rett linje 4"/>
        <xdr:cNvCxnSpPr/>
      </xdr:nvCxnSpPr>
      <xdr:spPr bwMode="auto">
        <a:xfrm>
          <a:off x="6942175" y="11239721"/>
          <a:ext cx="11075" cy="1333279"/>
        </a:xfrm>
        <a:prstGeom prst="line">
          <a:avLst/>
        </a:prstGeom>
        <a:solidFill>
          <a:srgbClr val="FFFFFF"/>
        </a:solidFill>
        <a:ln w="3175" cap="flat" cmpd="sng" algn="ctr">
          <a:solidFill>
            <a:srgbClr val="000000"/>
          </a:solidFill>
          <a:prstDash val="sysDash"/>
          <a:round/>
          <a:headEnd type="none" w="med" len="med"/>
          <a:tailEnd type="none" w="med" len="med"/>
        </a:ln>
        <a:effectLst/>
      </xdr:spPr>
    </xdr:cxnSp>
    <xdr:clientData/>
  </xdr:twoCellAnchor>
  <xdr:twoCellAnchor>
    <xdr:from>
      <xdr:col>0</xdr:col>
      <xdr:colOff>32159</xdr:colOff>
      <xdr:row>48</xdr:row>
      <xdr:rowOff>11159</xdr:rowOff>
    </xdr:from>
    <xdr:to>
      <xdr:col>1</xdr:col>
      <xdr:colOff>50928</xdr:colOff>
      <xdr:row>53</xdr:row>
      <xdr:rowOff>2</xdr:rowOff>
    </xdr:to>
    <xdr:sp macro="" textlink="">
      <xdr:nvSpPr>
        <xdr:cNvPr id="6" name="TekstSylinder 5"/>
        <xdr:cNvSpPr txBox="1"/>
      </xdr:nvSpPr>
      <xdr:spPr>
        <a:xfrm rot="16200000">
          <a:off x="-295778" y="6244596"/>
          <a:ext cx="874668" cy="218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GB" sz="700" b="1">
              <a:latin typeface="Arial" panose="020B0604020202020204" pitchFamily="34" charset="0"/>
              <a:cs typeface="Arial" panose="020B0604020202020204" pitchFamily="34" charset="0"/>
            </a:rPr>
            <a:t>Types of rockmass structures</a:t>
          </a:r>
        </a:p>
      </xdr:txBody>
    </xdr:sp>
    <xdr:clientData/>
  </xdr:twoCellAnchor>
  <xdr:twoCellAnchor>
    <xdr:from>
      <xdr:col>2</xdr:col>
      <xdr:colOff>81744</xdr:colOff>
      <xdr:row>23</xdr:row>
      <xdr:rowOff>31051</xdr:rowOff>
    </xdr:from>
    <xdr:to>
      <xdr:col>4</xdr:col>
      <xdr:colOff>263638</xdr:colOff>
      <xdr:row>24</xdr:row>
      <xdr:rowOff>1</xdr:rowOff>
    </xdr:to>
    <xdr:sp macro="" textlink="">
      <xdr:nvSpPr>
        <xdr:cNvPr id="7" name="TekstSylinder 6"/>
        <xdr:cNvSpPr txBox="1"/>
      </xdr:nvSpPr>
      <xdr:spPr>
        <a:xfrm>
          <a:off x="929469" y="2621851"/>
          <a:ext cx="1143919" cy="10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GB" sz="600" i="1">
              <a:solidFill>
                <a:srgbClr val="3333FF"/>
              </a:solidFill>
              <a:latin typeface="Arial" panose="020B0604020202020204" pitchFamily="34" charset="0"/>
              <a:cs typeface="Arial" panose="020B0604020202020204" pitchFamily="34" charset="0"/>
            </a:rPr>
            <a:t>(in area ca. 5 </a:t>
          </a:r>
          <a:r>
            <a:rPr lang="en-GB" sz="500" i="1">
              <a:solidFill>
                <a:srgbClr val="3333FF"/>
              </a:solidFill>
              <a:latin typeface="Arial" panose="020B0604020202020204" pitchFamily="34" charset="0"/>
              <a:cs typeface="Arial" panose="020B0604020202020204" pitchFamily="34" charset="0"/>
            </a:rPr>
            <a:t>x</a:t>
          </a:r>
          <a:r>
            <a:rPr lang="en-GB" sz="600" i="1">
              <a:solidFill>
                <a:srgbClr val="3333FF"/>
              </a:solidFill>
              <a:latin typeface="Arial" panose="020B0604020202020204" pitchFamily="34" charset="0"/>
              <a:cs typeface="Arial" panose="020B0604020202020204" pitchFamily="34" charset="0"/>
            </a:rPr>
            <a:t> tunnel span)</a:t>
          </a:r>
        </a:p>
      </xdr:txBody>
    </xdr:sp>
    <xdr:clientData/>
  </xdr:twoCellAnchor>
  <xdr:twoCellAnchor>
    <xdr:from>
      <xdr:col>2</xdr:col>
      <xdr:colOff>106622</xdr:colOff>
      <xdr:row>18</xdr:row>
      <xdr:rowOff>9505</xdr:rowOff>
    </xdr:from>
    <xdr:to>
      <xdr:col>4</xdr:col>
      <xdr:colOff>195474</xdr:colOff>
      <xdr:row>19</xdr:row>
      <xdr:rowOff>20582</xdr:rowOff>
    </xdr:to>
    <xdr:sp macro="" textlink="">
      <xdr:nvSpPr>
        <xdr:cNvPr id="8" name="TekstSylinder 7"/>
        <xdr:cNvSpPr txBox="1"/>
      </xdr:nvSpPr>
      <xdr:spPr>
        <a:xfrm>
          <a:off x="954347" y="1990705"/>
          <a:ext cx="1050877" cy="125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GB" sz="700">
              <a:latin typeface="Arial" panose="020B0604020202020204" pitchFamily="34" charset="0"/>
              <a:cs typeface="Arial" panose="020B0604020202020204" pitchFamily="34" charset="0"/>
            </a:rPr>
            <a:t> Volumetric joint count</a:t>
          </a:r>
        </a:p>
      </xdr:txBody>
    </xdr:sp>
    <xdr:clientData/>
  </xdr:twoCellAnchor>
  <xdr:twoCellAnchor>
    <xdr:from>
      <xdr:col>2</xdr:col>
      <xdr:colOff>22152</xdr:colOff>
      <xdr:row>24</xdr:row>
      <xdr:rowOff>9906</xdr:rowOff>
    </xdr:from>
    <xdr:to>
      <xdr:col>4</xdr:col>
      <xdr:colOff>335387</xdr:colOff>
      <xdr:row>24</xdr:row>
      <xdr:rowOff>114033</xdr:rowOff>
    </xdr:to>
    <xdr:sp macro="" textlink="">
      <xdr:nvSpPr>
        <xdr:cNvPr id="9" name="TekstSylinder 8"/>
        <xdr:cNvSpPr txBox="1"/>
      </xdr:nvSpPr>
      <xdr:spPr>
        <a:xfrm>
          <a:off x="869877" y="2734056"/>
          <a:ext cx="1275260" cy="104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GB" sz="700">
              <a:latin typeface="Arial" panose="020B0604020202020204" pitchFamily="34" charset="0"/>
              <a:cs typeface="Arial" panose="020B0604020202020204" pitchFamily="34" charset="0"/>
            </a:rPr>
            <a:t>Orientation of </a:t>
          </a:r>
          <a:r>
            <a:rPr lang="en-GB" sz="700" b="1" i="1">
              <a:latin typeface="Arial" panose="020B0604020202020204" pitchFamily="34" charset="0"/>
              <a:cs typeface="Arial" panose="020B0604020202020204" pitchFamily="34" charset="0"/>
            </a:rPr>
            <a:t>mai</a:t>
          </a:r>
          <a:r>
            <a:rPr lang="en-GB" sz="700">
              <a:latin typeface="Arial" panose="020B0604020202020204" pitchFamily="34" charset="0"/>
              <a:cs typeface="Arial" panose="020B0604020202020204" pitchFamily="34" charset="0"/>
            </a:rPr>
            <a:t>n joint set </a:t>
          </a:r>
        </a:p>
      </xdr:txBody>
    </xdr:sp>
    <xdr:clientData/>
  </xdr:twoCellAnchor>
  <xdr:twoCellAnchor>
    <xdr:from>
      <xdr:col>2</xdr:col>
      <xdr:colOff>99514</xdr:colOff>
      <xdr:row>22</xdr:row>
      <xdr:rowOff>16614</xdr:rowOff>
    </xdr:from>
    <xdr:to>
      <xdr:col>4</xdr:col>
      <xdr:colOff>152827</xdr:colOff>
      <xdr:row>23</xdr:row>
      <xdr:rowOff>27690</xdr:rowOff>
    </xdr:to>
    <xdr:sp macro="" textlink="">
      <xdr:nvSpPr>
        <xdr:cNvPr id="10" name="TekstSylinder 9"/>
        <xdr:cNvSpPr txBox="1"/>
      </xdr:nvSpPr>
      <xdr:spPr>
        <a:xfrm>
          <a:off x="947239" y="2493114"/>
          <a:ext cx="1015338" cy="1253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GB" sz="700">
              <a:latin typeface="Arial" panose="020B0604020202020204" pitchFamily="34" charset="0"/>
              <a:cs typeface="Arial" panose="020B0604020202020204" pitchFamily="34" charset="0"/>
            </a:rPr>
            <a:t> Number of joint sets</a:t>
          </a:r>
        </a:p>
      </xdr:txBody>
    </xdr:sp>
    <xdr:clientData/>
  </xdr:twoCellAnchor>
  <xdr:twoCellAnchor>
    <xdr:from>
      <xdr:col>2</xdr:col>
      <xdr:colOff>8504</xdr:colOff>
      <xdr:row>25</xdr:row>
      <xdr:rowOff>17008</xdr:rowOff>
    </xdr:from>
    <xdr:to>
      <xdr:col>4</xdr:col>
      <xdr:colOff>158024</xdr:colOff>
      <xdr:row>25</xdr:row>
      <xdr:rowOff>127765</xdr:rowOff>
    </xdr:to>
    <xdr:sp macro="" textlink="">
      <xdr:nvSpPr>
        <xdr:cNvPr id="11" name="TekstSylinder 10"/>
        <xdr:cNvSpPr txBox="1"/>
      </xdr:nvSpPr>
      <xdr:spPr>
        <a:xfrm>
          <a:off x="856229" y="2874508"/>
          <a:ext cx="1111545" cy="1107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endParaRPr lang="en-GB" sz="600" i="1">
            <a:solidFill>
              <a:srgbClr val="0000CC"/>
            </a:solidFill>
            <a:latin typeface="Arial" panose="020B0604020202020204" pitchFamily="34" charset="0"/>
            <a:cs typeface="Arial" panose="020B0604020202020204" pitchFamily="34" charset="0"/>
          </a:endParaRPr>
        </a:p>
      </xdr:txBody>
    </xdr:sp>
    <xdr:clientData/>
  </xdr:twoCellAnchor>
  <xdr:twoCellAnchor>
    <xdr:from>
      <xdr:col>2</xdr:col>
      <xdr:colOff>74635</xdr:colOff>
      <xdr:row>25</xdr:row>
      <xdr:rowOff>16327</xdr:rowOff>
    </xdr:from>
    <xdr:to>
      <xdr:col>4</xdr:col>
      <xdr:colOff>67527</xdr:colOff>
      <xdr:row>26</xdr:row>
      <xdr:rowOff>0</xdr:rowOff>
    </xdr:to>
    <xdr:sp macro="" textlink="">
      <xdr:nvSpPr>
        <xdr:cNvPr id="12" name="TekstSylinder 11"/>
        <xdr:cNvSpPr txBox="1"/>
      </xdr:nvSpPr>
      <xdr:spPr>
        <a:xfrm>
          <a:off x="922360" y="2873827"/>
          <a:ext cx="954917" cy="1170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GB" sz="600" b="0" i="1">
              <a:solidFill>
                <a:srgbClr val="3333FF"/>
              </a:solidFill>
              <a:latin typeface="Arial" panose="020B0604020202020204" pitchFamily="34" charset="0"/>
              <a:cs typeface="Arial" panose="020B0604020202020204" pitchFamily="34" charset="0"/>
            </a:rPr>
            <a:t>related to tunnel axis</a:t>
          </a:r>
        </a:p>
      </xdr:txBody>
    </xdr:sp>
    <xdr:clientData/>
  </xdr:twoCellAnchor>
  <xdr:twoCellAnchor>
    <xdr:from>
      <xdr:col>7</xdr:col>
      <xdr:colOff>509663</xdr:colOff>
      <xdr:row>46</xdr:row>
      <xdr:rowOff>36949</xdr:rowOff>
    </xdr:from>
    <xdr:to>
      <xdr:col>8</xdr:col>
      <xdr:colOff>48067</xdr:colOff>
      <xdr:row>46</xdr:row>
      <xdr:rowOff>197068</xdr:rowOff>
    </xdr:to>
    <xdr:sp macro="" textlink="">
      <xdr:nvSpPr>
        <xdr:cNvPr id="13" name="TekstSylinder 12"/>
        <xdr:cNvSpPr txBox="1"/>
      </xdr:nvSpPr>
      <xdr:spPr>
        <a:xfrm>
          <a:off x="3900563" y="5532874"/>
          <a:ext cx="100379" cy="160119"/>
        </a:xfrm>
        <a:prstGeom prst="rect">
          <a:avLst/>
        </a:prstGeom>
        <a:solidFill>
          <a:srgbClr val="EB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algn="ctr"/>
          <a:r>
            <a:rPr lang="en-GB" sz="1000" b="1"/>
            <a:t>-</a:t>
          </a:r>
        </a:p>
      </xdr:txBody>
    </xdr:sp>
    <xdr:clientData/>
  </xdr:twoCellAnchor>
  <xdr:twoCellAnchor>
    <xdr:from>
      <xdr:col>8</xdr:col>
      <xdr:colOff>487682</xdr:colOff>
      <xdr:row>46</xdr:row>
      <xdr:rowOff>36950</xdr:rowOff>
    </xdr:from>
    <xdr:to>
      <xdr:col>9</xdr:col>
      <xdr:colOff>55394</xdr:colOff>
      <xdr:row>46</xdr:row>
      <xdr:rowOff>184752</xdr:rowOff>
    </xdr:to>
    <xdr:sp macro="" textlink="">
      <xdr:nvSpPr>
        <xdr:cNvPr id="14" name="TekstSylinder 13"/>
        <xdr:cNvSpPr txBox="1"/>
      </xdr:nvSpPr>
      <xdr:spPr>
        <a:xfrm>
          <a:off x="4440557" y="5532875"/>
          <a:ext cx="120162" cy="147802"/>
        </a:xfrm>
        <a:prstGeom prst="rect">
          <a:avLst/>
        </a:prstGeom>
        <a:solidFill>
          <a:srgbClr val="EB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algn="ctr"/>
          <a:r>
            <a:rPr lang="en-GB" sz="1000" b="1"/>
            <a:t>-</a:t>
          </a:r>
        </a:p>
      </xdr:txBody>
    </xdr:sp>
    <xdr:clientData/>
  </xdr:twoCellAnchor>
  <xdr:twoCellAnchor>
    <xdr:from>
      <xdr:col>18</xdr:col>
      <xdr:colOff>514604</xdr:colOff>
      <xdr:row>52</xdr:row>
      <xdr:rowOff>161254</xdr:rowOff>
    </xdr:from>
    <xdr:to>
      <xdr:col>19</xdr:col>
      <xdr:colOff>454009</xdr:colOff>
      <xdr:row>52</xdr:row>
      <xdr:rowOff>212652</xdr:rowOff>
    </xdr:to>
    <xdr:sp macro="" textlink="">
      <xdr:nvSpPr>
        <xdr:cNvPr id="15" name="TekstSylinder 14"/>
        <xdr:cNvSpPr txBox="1"/>
      </xdr:nvSpPr>
      <xdr:spPr>
        <a:xfrm>
          <a:off x="9210929" y="6733504"/>
          <a:ext cx="463280" cy="51398"/>
        </a:xfrm>
        <a:prstGeom prst="rect">
          <a:avLst/>
        </a:prstGeom>
        <a:solidFill>
          <a:srgbClr val="FFF3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algn="r"/>
          <a:r>
            <a:rPr lang="en-GB" sz="450"/>
            <a:t>A. Palmström-2014</a:t>
          </a:r>
        </a:p>
      </xdr:txBody>
    </xdr:sp>
    <xdr:clientData/>
  </xdr:twoCellAnchor>
  <mc:AlternateContent xmlns:mc="http://schemas.openxmlformats.org/markup-compatibility/2006">
    <mc:Choice xmlns:a14="http://schemas.microsoft.com/office/drawing/2010/main" Requires="a14">
      <xdr:twoCellAnchor editAs="oneCell">
        <xdr:from>
          <xdr:col>15</xdr:col>
          <xdr:colOff>333375</xdr:colOff>
          <xdr:row>4</xdr:row>
          <xdr:rowOff>9525</xdr:rowOff>
        </xdr:from>
        <xdr:to>
          <xdr:col>17</xdr:col>
          <xdr:colOff>57150</xdr:colOff>
          <xdr:row>5</xdr:row>
          <xdr:rowOff>38100</xdr:rowOff>
        </xdr:to>
        <xdr:sp macro="" textlink="">
          <xdr:nvSpPr>
            <xdr:cNvPr id="17409" name="Check Box 1" hidden="1">
              <a:extLst>
                <a:ext uri="{63B3BB69-23CF-44E3-9099-C40C66FF867C}">
                  <a14:compatExt spid="_x0000_s17409"/>
                </a:ext>
              </a:extLst>
            </xdr:cNvPr>
            <xdr:cNvSpPr/>
          </xdr:nvSpPr>
          <xdr:spPr>
            <a:xfrm>
              <a:off x="0" y="0"/>
              <a:ext cx="0" cy="0"/>
            </a:xfrm>
            <a:prstGeom prst="rect">
              <a:avLst/>
            </a:prstGeom>
          </xdr:spPr>
        </xdr:sp>
        <xdr:clientData/>
      </xdr:twoCellAnchor>
    </mc:Choice>
    <mc:Fallback/>
  </mc:AlternateContent>
  <xdr:twoCellAnchor>
    <xdr:from>
      <xdr:col>15</xdr:col>
      <xdr:colOff>222789</xdr:colOff>
      <xdr:row>1</xdr:row>
      <xdr:rowOff>187142</xdr:rowOff>
    </xdr:from>
    <xdr:to>
      <xdr:col>15</xdr:col>
      <xdr:colOff>234089</xdr:colOff>
      <xdr:row>9</xdr:row>
      <xdr:rowOff>24216</xdr:rowOff>
    </xdr:to>
    <xdr:cxnSp macro="">
      <xdr:nvCxnSpPr>
        <xdr:cNvPr id="19" name="Rett pil 18"/>
        <xdr:cNvCxnSpPr/>
      </xdr:nvCxnSpPr>
      <xdr:spPr bwMode="auto">
        <a:xfrm>
          <a:off x="7996158" y="380871"/>
          <a:ext cx="11300" cy="1201248"/>
        </a:xfrm>
        <a:prstGeom prst="straightConnector1">
          <a:avLst/>
        </a:prstGeom>
        <a:ln w="19050">
          <a:solidFill>
            <a:sysClr val="windowText" lastClr="000000"/>
          </a:solidFill>
          <a:headEnd type="none" w="med" len="med"/>
          <a:tailEnd type="arrow"/>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15</xdr:col>
      <xdr:colOff>158276</xdr:colOff>
      <xdr:row>1</xdr:row>
      <xdr:rowOff>68968</xdr:rowOff>
    </xdr:from>
    <xdr:to>
      <xdr:col>24</xdr:col>
      <xdr:colOff>1873</xdr:colOff>
      <xdr:row>1</xdr:row>
      <xdr:rowOff>266378</xdr:rowOff>
    </xdr:to>
    <xdr:sp macro="" textlink="">
      <xdr:nvSpPr>
        <xdr:cNvPr id="30" name="TekstSylinder 29"/>
        <xdr:cNvSpPr txBox="1"/>
      </xdr:nvSpPr>
      <xdr:spPr>
        <a:xfrm>
          <a:off x="7931645" y="262697"/>
          <a:ext cx="3153131" cy="197410"/>
        </a:xfrm>
        <a:prstGeom prst="rect">
          <a:avLst/>
        </a:prstGeom>
        <a:solidFill>
          <a:schemeClr val="accent3">
            <a:lumMod val="40000"/>
            <a:lumOff val="60000"/>
          </a:schemeClr>
        </a:solidFill>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GB" sz="1000" b="1">
              <a:latin typeface="Arial" panose="020B0604020202020204" pitchFamily="34" charset="0"/>
              <a:cs typeface="Arial" panose="020B0604020202020204" pitchFamily="34" charset="0"/>
            </a:rPr>
            <a:t>The input is used to calculate the ground quality</a:t>
          </a:r>
        </a:p>
      </xdr:txBody>
    </xdr:sp>
    <xdr:clientData/>
  </xdr:twoCellAnchor>
  <xdr:twoCellAnchor>
    <xdr:from>
      <xdr:col>13</xdr:col>
      <xdr:colOff>548898</xdr:colOff>
      <xdr:row>1</xdr:row>
      <xdr:rowOff>0</xdr:rowOff>
    </xdr:from>
    <xdr:to>
      <xdr:col>14</xdr:col>
      <xdr:colOff>8072</xdr:colOff>
      <xdr:row>5</xdr:row>
      <xdr:rowOff>56505</xdr:rowOff>
    </xdr:to>
    <xdr:cxnSp macro="">
      <xdr:nvCxnSpPr>
        <xdr:cNvPr id="22" name="Rett pil 21"/>
        <xdr:cNvCxnSpPr/>
      </xdr:nvCxnSpPr>
      <xdr:spPr bwMode="auto">
        <a:xfrm>
          <a:off x="7248686" y="193729"/>
          <a:ext cx="8072" cy="879852"/>
        </a:xfrm>
        <a:prstGeom prst="straightConnector1">
          <a:avLst/>
        </a:prstGeom>
        <a:ln w="19050">
          <a:solidFill>
            <a:sysClr val="windowText" lastClr="000000"/>
          </a:solidFill>
          <a:headEnd type="none" w="med" len="med"/>
          <a:tailEnd type="arrow"/>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4</xdr:col>
      <xdr:colOff>443961</xdr:colOff>
      <xdr:row>1</xdr:row>
      <xdr:rowOff>0</xdr:rowOff>
    </xdr:from>
    <xdr:to>
      <xdr:col>5</xdr:col>
      <xdr:colOff>8072</xdr:colOff>
      <xdr:row>5</xdr:row>
      <xdr:rowOff>72649</xdr:rowOff>
    </xdr:to>
    <xdr:cxnSp macro="">
      <xdr:nvCxnSpPr>
        <xdr:cNvPr id="24" name="Rett pil 23"/>
        <xdr:cNvCxnSpPr/>
      </xdr:nvCxnSpPr>
      <xdr:spPr bwMode="auto">
        <a:xfrm>
          <a:off x="2252097" y="193729"/>
          <a:ext cx="8072" cy="895996"/>
        </a:xfrm>
        <a:prstGeom prst="straightConnector1">
          <a:avLst/>
        </a:prstGeom>
        <a:ln w="19050">
          <a:solidFill>
            <a:sysClr val="windowText" lastClr="000000"/>
          </a:solidFill>
          <a:headEnd type="none" w="med" len="med"/>
          <a:tailEnd type="arrow"/>
        </a:ln>
      </xdr:spPr>
      <xdr:style>
        <a:lnRef idx="1">
          <a:schemeClr val="accent3"/>
        </a:lnRef>
        <a:fillRef idx="0">
          <a:schemeClr val="accent3"/>
        </a:fillRef>
        <a:effectRef idx="0">
          <a:schemeClr val="accent3"/>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411480</xdr:colOff>
      <xdr:row>0</xdr:row>
      <xdr:rowOff>53340</xdr:rowOff>
    </xdr:from>
    <xdr:to>
      <xdr:col>13</xdr:col>
      <xdr:colOff>22859</xdr:colOff>
      <xdr:row>2</xdr:row>
      <xdr:rowOff>30480</xdr:rowOff>
    </xdr:to>
    <xdr:pic>
      <xdr:nvPicPr>
        <xdr:cNvPr id="17860" name="Picture 1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5560" y="53340"/>
          <a:ext cx="5486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238125</xdr:colOff>
      <xdr:row>2</xdr:row>
      <xdr:rowOff>66675</xdr:rowOff>
    </xdr:from>
    <xdr:to>
      <xdr:col>8</xdr:col>
      <xdr:colOff>745630</xdr:colOff>
      <xdr:row>35</xdr:row>
      <xdr:rowOff>121550</xdr:rowOff>
    </xdr:to>
    <xdr:pic>
      <xdr:nvPicPr>
        <xdr:cNvPr id="5" name="Bild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552450"/>
          <a:ext cx="6098680" cy="5398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0</xdr:colOff>
      <xdr:row>3</xdr:row>
      <xdr:rowOff>76200</xdr:rowOff>
    </xdr:from>
    <xdr:to>
      <xdr:col>18</xdr:col>
      <xdr:colOff>47284</xdr:colOff>
      <xdr:row>33</xdr:row>
      <xdr:rowOff>68580</xdr:rowOff>
    </xdr:to>
    <xdr:pic>
      <xdr:nvPicPr>
        <xdr:cNvPr id="2" name="Bild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01840" y="632460"/>
          <a:ext cx="6326164" cy="5021580"/>
        </a:xfrm>
        <a:prstGeom prst="rect">
          <a:avLst/>
        </a:prstGeom>
      </xdr:spPr>
    </xdr:pic>
    <xdr:clientData/>
  </xdr:twoCellAnchor>
  <xdr:twoCellAnchor editAs="oneCell">
    <xdr:from>
      <xdr:col>1</xdr:col>
      <xdr:colOff>0</xdr:colOff>
      <xdr:row>2</xdr:row>
      <xdr:rowOff>9524</xdr:rowOff>
    </xdr:from>
    <xdr:to>
      <xdr:col>9</xdr:col>
      <xdr:colOff>303589</xdr:colOff>
      <xdr:row>36</xdr:row>
      <xdr:rowOff>38099</xdr:rowOff>
    </xdr:to>
    <xdr:pic>
      <xdr:nvPicPr>
        <xdr:cNvPr id="3" name="Bild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1925" y="400049"/>
          <a:ext cx="6237664" cy="5534025"/>
        </a:xfrm>
        <a:prstGeom prst="rect">
          <a:avLst/>
        </a:prstGeom>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showGridLines="0" tabSelected="1" zoomScaleNormal="100" workbookViewId="0">
      <selection activeCell="D6" sqref="D6"/>
    </sheetView>
  </sheetViews>
  <sheetFormatPr baseColWidth="10" defaultRowHeight="39.75" customHeight="1" x14ac:dyDescent="0.2"/>
  <cols>
    <col min="1" max="1" width="77.5703125" customWidth="1"/>
    <col min="2" max="2" width="9" customWidth="1"/>
  </cols>
  <sheetData>
    <row r="1" spans="1:4" ht="27.75" customHeight="1" x14ac:dyDescent="0.25">
      <c r="A1" s="1266" t="s">
        <v>731</v>
      </c>
      <c r="B1" s="1267"/>
    </row>
    <row r="2" spans="1:4" ht="90.75" customHeight="1" x14ac:dyDescent="0.2">
      <c r="A2" s="1460" t="s">
        <v>953</v>
      </c>
      <c r="B2" s="1461"/>
    </row>
    <row r="3" spans="1:4" ht="17.25" customHeight="1" x14ac:dyDescent="0.2">
      <c r="A3" s="1414"/>
      <c r="B3" s="1268"/>
    </row>
    <row r="4" spans="1:4" ht="39.75" customHeight="1" x14ac:dyDescent="0.2">
      <c r="A4" s="1454" t="s">
        <v>948</v>
      </c>
      <c r="B4" s="1455"/>
    </row>
    <row r="5" spans="1:4" ht="39.75" customHeight="1" x14ac:dyDescent="0.2">
      <c r="A5" s="1456" t="s">
        <v>761</v>
      </c>
      <c r="B5" s="1457"/>
    </row>
    <row r="6" spans="1:4" ht="39.75" customHeight="1" x14ac:dyDescent="0.2">
      <c r="A6" s="1462" t="s">
        <v>949</v>
      </c>
      <c r="B6" s="1463"/>
    </row>
    <row r="7" spans="1:4" ht="46.5" customHeight="1" x14ac:dyDescent="0.2">
      <c r="A7" s="1454" t="s">
        <v>942</v>
      </c>
      <c r="B7" s="1455"/>
      <c r="D7" s="574"/>
    </row>
    <row r="8" spans="1:4" ht="45" customHeight="1" x14ac:dyDescent="0.2">
      <c r="A8" s="1454" t="s">
        <v>950</v>
      </c>
      <c r="B8" s="1455"/>
      <c r="D8" s="574"/>
    </row>
    <row r="9" spans="1:4" s="528" customFormat="1" ht="61.5" customHeight="1" x14ac:dyDescent="0.2">
      <c r="A9" s="1454" t="s">
        <v>951</v>
      </c>
      <c r="B9" s="1455"/>
    </row>
    <row r="10" spans="1:4" ht="17.25" customHeight="1" x14ac:dyDescent="0.2">
      <c r="A10" s="1456" t="s">
        <v>880</v>
      </c>
      <c r="B10" s="1457"/>
    </row>
    <row r="11" spans="1:4" ht="27" customHeight="1" x14ac:dyDescent="0.2">
      <c r="A11" s="1169"/>
      <c r="B11" s="1206"/>
    </row>
    <row r="12" spans="1:4" ht="39.75" customHeight="1" x14ac:dyDescent="0.2">
      <c r="A12" s="1170"/>
      <c r="B12" s="1206"/>
    </row>
    <row r="13" spans="1:4" ht="39.75" customHeight="1" x14ac:dyDescent="0.2">
      <c r="A13" s="1170"/>
      <c r="B13" s="1206"/>
    </row>
    <row r="14" spans="1:4" ht="39.75" customHeight="1" x14ac:dyDescent="0.2">
      <c r="A14" s="1170"/>
      <c r="B14" s="1206"/>
    </row>
    <row r="15" spans="1:4" ht="39.75" customHeight="1" x14ac:dyDescent="0.2">
      <c r="A15" s="1170"/>
      <c r="B15" s="1206"/>
    </row>
    <row r="16" spans="1:4" ht="72" customHeight="1" x14ac:dyDescent="0.2">
      <c r="A16" s="1458" t="s">
        <v>952</v>
      </c>
      <c r="B16" s="1459"/>
    </row>
    <row r="17" spans="1:3" ht="16.5" customHeight="1" x14ac:dyDescent="0.2">
      <c r="A17" s="1171" t="s">
        <v>779</v>
      </c>
      <c r="B17" s="1206"/>
    </row>
    <row r="18" spans="1:3" ht="12" customHeight="1" x14ac:dyDescent="0.2">
      <c r="A18" s="1271" t="s">
        <v>778</v>
      </c>
      <c r="B18" s="1270" t="s">
        <v>848</v>
      </c>
    </row>
    <row r="19" spans="1:3" ht="48.75" customHeight="1" x14ac:dyDescent="0.2">
      <c r="A19" s="1269"/>
      <c r="B19" s="1269"/>
      <c r="C19" s="1269"/>
    </row>
  </sheetData>
  <sheetProtection password="CC63" sheet="1" objects="1" scenarios="1"/>
  <mergeCells count="9">
    <mergeCell ref="A9:B9"/>
    <mergeCell ref="A10:B10"/>
    <mergeCell ref="A16:B16"/>
    <mergeCell ref="A2:B2"/>
    <mergeCell ref="A4:B4"/>
    <mergeCell ref="A5:B5"/>
    <mergeCell ref="A6:B6"/>
    <mergeCell ref="A7:B7"/>
    <mergeCell ref="A8:B8"/>
  </mergeCells>
  <pageMargins left="1.08" right="0.52" top="1" bottom="0.54"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5"/>
  <sheetViews>
    <sheetView showGridLines="0" workbookViewId="0">
      <selection activeCell="S33" sqref="S33"/>
    </sheetView>
  </sheetViews>
  <sheetFormatPr baseColWidth="10" defaultColWidth="11.42578125" defaultRowHeight="13.5" customHeight="1" x14ac:dyDescent="0.2"/>
  <cols>
    <col min="1" max="1" width="2.28515625" style="1275" customWidth="1"/>
    <col min="2" max="2" width="8.5703125" style="1275" customWidth="1"/>
    <col min="3" max="3" width="9.28515625" style="1409" customWidth="1"/>
    <col min="4" max="4" width="5.85546875" style="1275" customWidth="1"/>
    <col min="5" max="5" width="9.140625" style="1275" customWidth="1"/>
    <col min="6" max="7" width="8.42578125" style="1275" customWidth="1"/>
    <col min="8" max="8" width="7.7109375" style="1275" customWidth="1"/>
    <col min="9" max="9" width="7.85546875" style="1275" customWidth="1"/>
    <col min="10" max="10" width="2.28515625" style="1275" customWidth="1"/>
    <col min="11" max="11" width="7.140625" style="1275" customWidth="1"/>
    <col min="12" max="12" width="7.5703125" style="1275" customWidth="1"/>
    <col min="13" max="13" width="8.140625" style="1275" customWidth="1"/>
    <col min="14" max="14" width="8.140625" style="1410" customWidth="1"/>
    <col min="15" max="16384" width="11.42578125" style="1275"/>
  </cols>
  <sheetData>
    <row r="1" spans="1:14" ht="13.5" customHeight="1" x14ac:dyDescent="0.2">
      <c r="A1" s="1632" t="s">
        <v>881</v>
      </c>
      <c r="B1" s="1633"/>
      <c r="C1" s="1633"/>
      <c r="D1" s="1634"/>
      <c r="E1" s="1272" t="s">
        <v>654</v>
      </c>
      <c r="F1" s="1638" t="s">
        <v>731</v>
      </c>
      <c r="G1" s="1638"/>
      <c r="H1" s="1273" t="s">
        <v>647</v>
      </c>
      <c r="I1" s="1639" t="s">
        <v>866</v>
      </c>
      <c r="J1" s="1639"/>
      <c r="K1" s="1639"/>
      <c r="L1" s="1274" t="s">
        <v>592</v>
      </c>
      <c r="M1" s="1612"/>
      <c r="N1" s="1613"/>
    </row>
    <row r="2" spans="1:14" ht="13.5" customHeight="1" x14ac:dyDescent="0.2">
      <c r="A2" s="1635"/>
      <c r="B2" s="1636"/>
      <c r="C2" s="1636"/>
      <c r="D2" s="1637"/>
      <c r="E2" s="1276"/>
      <c r="F2" s="1415"/>
      <c r="G2" s="1415"/>
      <c r="H2" s="1276" t="s">
        <v>648</v>
      </c>
      <c r="I2" s="1416"/>
      <c r="J2" s="1417"/>
      <c r="K2" s="1417"/>
      <c r="L2" s="1277" t="s">
        <v>556</v>
      </c>
      <c r="M2" s="1614"/>
      <c r="N2" s="1615"/>
    </row>
    <row r="3" spans="1:14" ht="13.5" customHeight="1" x14ac:dyDescent="0.2">
      <c r="A3" s="1628" t="s">
        <v>882</v>
      </c>
      <c r="B3" s="1629"/>
      <c r="C3" s="1629"/>
      <c r="D3" s="1630"/>
      <c r="E3" s="1631" t="s">
        <v>883</v>
      </c>
      <c r="F3" s="1629"/>
      <c r="G3" s="1629"/>
      <c r="H3" s="1629"/>
      <c r="I3" s="1629"/>
      <c r="J3" s="1629"/>
      <c r="K3" s="1629"/>
      <c r="L3" s="1629"/>
      <c r="M3" s="1278"/>
      <c r="N3" s="1279"/>
    </row>
    <row r="4" spans="1:14" ht="13.5" customHeight="1" x14ac:dyDescent="0.2">
      <c r="A4" s="1599" t="s">
        <v>702</v>
      </c>
      <c r="B4" s="1616"/>
      <c r="C4" s="1618" t="s">
        <v>884</v>
      </c>
      <c r="D4" s="1619"/>
      <c r="E4" s="1280" t="s">
        <v>705</v>
      </c>
      <c r="F4" s="1280" t="s">
        <v>703</v>
      </c>
      <c r="G4" s="1280" t="s">
        <v>704</v>
      </c>
      <c r="H4" s="1281" t="s">
        <v>885</v>
      </c>
      <c r="I4" s="1411">
        <v>15</v>
      </c>
      <c r="J4" s="1620" t="s">
        <v>886</v>
      </c>
      <c r="K4" s="1621"/>
      <c r="L4" s="1621"/>
      <c r="M4" s="1621"/>
      <c r="N4" s="1622"/>
    </row>
    <row r="5" spans="1:14" ht="13.5" customHeight="1" x14ac:dyDescent="0.2">
      <c r="A5" s="1603"/>
      <c r="B5" s="1617"/>
      <c r="C5" s="1626" t="s">
        <v>887</v>
      </c>
      <c r="D5" s="1627"/>
      <c r="E5" s="1418" t="s">
        <v>938</v>
      </c>
      <c r="F5" s="1419"/>
      <c r="G5" s="1419"/>
      <c r="H5" s="1282"/>
      <c r="I5" s="1283"/>
      <c r="J5" s="1623"/>
      <c r="K5" s="1624"/>
      <c r="L5" s="1624"/>
      <c r="M5" s="1624"/>
      <c r="N5" s="1625"/>
    </row>
    <row r="6" spans="1:14" ht="13.5" customHeight="1" x14ac:dyDescent="0.15">
      <c r="A6" s="1599" t="s">
        <v>713</v>
      </c>
      <c r="B6" s="1600"/>
      <c r="C6" s="1552" t="s">
        <v>736</v>
      </c>
      <c r="D6" s="1541"/>
      <c r="E6" s="1607" t="s">
        <v>939</v>
      </c>
      <c r="F6" s="1608"/>
      <c r="G6" s="1608"/>
      <c r="H6" s="1608"/>
      <c r="I6" s="1609"/>
      <c r="J6" s="1284" t="s">
        <v>888</v>
      </c>
      <c r="K6" s="1285" t="s">
        <v>560</v>
      </c>
      <c r="L6" s="1286" t="s">
        <v>561</v>
      </c>
      <c r="M6" s="1285" t="s">
        <v>711</v>
      </c>
      <c r="N6" s="1287" t="s">
        <v>710</v>
      </c>
    </row>
    <row r="7" spans="1:14" ht="13.5" customHeight="1" x14ac:dyDescent="0.2">
      <c r="A7" s="1601"/>
      <c r="B7" s="1602"/>
      <c r="C7" s="1605"/>
      <c r="D7" s="1606"/>
      <c r="E7" s="1420" t="s">
        <v>940</v>
      </c>
      <c r="F7" s="1421"/>
      <c r="G7" s="1421"/>
      <c r="H7" s="1421"/>
      <c r="I7" s="1422"/>
      <c r="J7" s="1288">
        <v>1</v>
      </c>
      <c r="K7" s="1423" t="s">
        <v>869</v>
      </c>
      <c r="L7" s="1424" t="s">
        <v>723</v>
      </c>
      <c r="M7" s="1425" t="s">
        <v>872</v>
      </c>
      <c r="N7" s="1426" t="s">
        <v>889</v>
      </c>
    </row>
    <row r="8" spans="1:14" ht="13.5" customHeight="1" x14ac:dyDescent="0.2">
      <c r="A8" s="1601"/>
      <c r="B8" s="1602"/>
      <c r="C8" s="1605" t="s">
        <v>890</v>
      </c>
      <c r="D8" s="1606"/>
      <c r="E8" s="1427" t="s">
        <v>891</v>
      </c>
      <c r="F8" s="1428"/>
      <c r="G8" s="1428"/>
      <c r="H8" s="1428"/>
      <c r="I8" s="1429"/>
      <c r="J8" s="1288">
        <v>2</v>
      </c>
      <c r="K8" s="1423" t="s">
        <v>839</v>
      </c>
      <c r="L8" s="1424" t="s">
        <v>871</v>
      </c>
      <c r="M8" s="1430" t="s">
        <v>873</v>
      </c>
      <c r="N8" s="1426" t="s">
        <v>941</v>
      </c>
    </row>
    <row r="9" spans="1:14" ht="13.5" customHeight="1" x14ac:dyDescent="0.2">
      <c r="A9" s="1601"/>
      <c r="B9" s="1602"/>
      <c r="C9" s="1571"/>
      <c r="D9" s="1542"/>
      <c r="E9" s="1431"/>
      <c r="F9" s="1432"/>
      <c r="G9" s="1432"/>
      <c r="H9" s="1432"/>
      <c r="I9" s="1433"/>
      <c r="J9" s="1288">
        <v>3</v>
      </c>
      <c r="K9" s="1425" t="s">
        <v>838</v>
      </c>
      <c r="L9" s="1424" t="s">
        <v>722</v>
      </c>
      <c r="M9" s="1430"/>
      <c r="N9" s="1426" t="s">
        <v>892</v>
      </c>
    </row>
    <row r="10" spans="1:14" ht="13.5" customHeight="1" x14ac:dyDescent="0.2">
      <c r="A10" s="1601"/>
      <c r="B10" s="1602"/>
      <c r="C10" s="1610" t="s">
        <v>893</v>
      </c>
      <c r="D10" s="1611"/>
      <c r="E10" s="1289" t="s">
        <v>677</v>
      </c>
      <c r="F10" s="1289" t="s">
        <v>676</v>
      </c>
      <c r="G10" s="1289" t="s">
        <v>652</v>
      </c>
      <c r="H10" s="1289" t="s">
        <v>675</v>
      </c>
      <c r="I10" s="1310" t="s">
        <v>653</v>
      </c>
      <c r="J10" s="1434"/>
      <c r="K10" s="1435" t="s">
        <v>894</v>
      </c>
      <c r="L10" s="1436"/>
      <c r="M10" s="1436"/>
      <c r="N10" s="1437"/>
    </row>
    <row r="11" spans="1:14" ht="13.5" customHeight="1" thickBot="1" x14ac:dyDescent="0.25">
      <c r="A11" s="1601"/>
      <c r="B11" s="1602"/>
      <c r="C11" s="1561"/>
      <c r="D11" s="1562"/>
      <c r="E11" s="1290" t="s">
        <v>16</v>
      </c>
      <c r="F11" s="1290" t="s">
        <v>18</v>
      </c>
      <c r="G11" s="1290" t="s">
        <v>21</v>
      </c>
      <c r="H11" s="1290" t="s">
        <v>23</v>
      </c>
      <c r="I11" s="1306" t="s">
        <v>25</v>
      </c>
      <c r="J11" s="1438"/>
      <c r="K11" s="1439"/>
      <c r="L11" s="1440"/>
      <c r="M11" s="1440"/>
      <c r="N11" s="1441"/>
    </row>
    <row r="12" spans="1:14" ht="10.5" customHeight="1" thickTop="1" x14ac:dyDescent="0.2">
      <c r="A12" s="1601"/>
      <c r="B12" s="1602"/>
      <c r="C12" s="1552" t="s">
        <v>895</v>
      </c>
      <c r="D12" s="1541"/>
      <c r="E12" s="1311" t="s">
        <v>498</v>
      </c>
      <c r="F12" s="1289" t="s">
        <v>896</v>
      </c>
      <c r="G12" s="1289" t="s">
        <v>499</v>
      </c>
      <c r="H12" s="1289" t="s">
        <v>500</v>
      </c>
      <c r="I12" s="1289" t="s">
        <v>583</v>
      </c>
      <c r="J12" s="1582" t="s">
        <v>719</v>
      </c>
      <c r="K12" s="1583"/>
      <c r="L12" s="1291" t="s">
        <v>717</v>
      </c>
      <c r="M12" s="1292" t="s">
        <v>718</v>
      </c>
      <c r="N12" s="1293" t="s">
        <v>501</v>
      </c>
    </row>
    <row r="13" spans="1:14" ht="13.5" customHeight="1" x14ac:dyDescent="0.2">
      <c r="A13" s="1603"/>
      <c r="B13" s="1604"/>
      <c r="C13" s="1571"/>
      <c r="D13" s="1542"/>
      <c r="E13" s="1294" t="s">
        <v>16</v>
      </c>
      <c r="F13" s="1295" t="s">
        <v>18</v>
      </c>
      <c r="G13" s="1296" t="s">
        <v>21</v>
      </c>
      <c r="H13" s="1296" t="s">
        <v>23</v>
      </c>
      <c r="I13" s="1296" t="s">
        <v>25</v>
      </c>
      <c r="J13" s="1584" t="s">
        <v>27</v>
      </c>
      <c r="K13" s="1585"/>
      <c r="L13" s="1296" t="s">
        <v>29</v>
      </c>
      <c r="M13" s="1297" t="s">
        <v>54</v>
      </c>
      <c r="N13" s="1298" t="s">
        <v>56</v>
      </c>
    </row>
    <row r="14" spans="1:14" ht="10.5" customHeight="1" x14ac:dyDescent="0.2">
      <c r="A14" s="1565" t="s">
        <v>897</v>
      </c>
      <c r="B14" s="1566"/>
      <c r="C14" s="1586" t="s">
        <v>898</v>
      </c>
      <c r="D14" s="1587"/>
      <c r="E14" s="1299" t="s">
        <v>482</v>
      </c>
      <c r="F14" s="1299" t="s">
        <v>483</v>
      </c>
      <c r="G14" s="1299" t="s">
        <v>588</v>
      </c>
      <c r="H14" s="1299" t="s">
        <v>587</v>
      </c>
      <c r="I14" s="1299" t="s">
        <v>586</v>
      </c>
      <c r="J14" s="1590" t="s">
        <v>585</v>
      </c>
      <c r="K14" s="1591"/>
      <c r="L14" s="1300" t="s">
        <v>480</v>
      </c>
      <c r="M14" s="1301" t="s">
        <v>481</v>
      </c>
      <c r="N14" s="1302" t="s">
        <v>584</v>
      </c>
    </row>
    <row r="15" spans="1:14" ht="13.5" customHeight="1" x14ac:dyDescent="0.2">
      <c r="A15" s="1567"/>
      <c r="B15" s="1568"/>
      <c r="C15" s="1588"/>
      <c r="D15" s="1589"/>
      <c r="E15" s="1303" t="s">
        <v>16</v>
      </c>
      <c r="F15" s="1304" t="s">
        <v>18</v>
      </c>
      <c r="G15" s="1305" t="s">
        <v>21</v>
      </c>
      <c r="H15" s="1305" t="s">
        <v>23</v>
      </c>
      <c r="I15" s="1296" t="s">
        <v>25</v>
      </c>
      <c r="J15" s="1499" t="s">
        <v>27</v>
      </c>
      <c r="K15" s="1500"/>
      <c r="L15" s="1305" t="s">
        <v>29</v>
      </c>
      <c r="M15" s="1356" t="s">
        <v>54</v>
      </c>
      <c r="N15" s="1298" t="s">
        <v>56</v>
      </c>
    </row>
    <row r="16" spans="1:14" ht="10.5" customHeight="1" x14ac:dyDescent="0.2">
      <c r="A16" s="1567"/>
      <c r="B16" s="1568"/>
      <c r="C16" s="1552" t="s">
        <v>899</v>
      </c>
      <c r="D16" s="1541"/>
      <c r="E16" s="1307" t="s">
        <v>502</v>
      </c>
      <c r="F16" s="1308" t="s">
        <v>565</v>
      </c>
      <c r="G16" s="1307" t="s">
        <v>566</v>
      </c>
      <c r="H16" s="1309" t="s">
        <v>567</v>
      </c>
      <c r="I16" s="1307" t="s">
        <v>568</v>
      </c>
      <c r="J16" s="1592" t="s">
        <v>569</v>
      </c>
      <c r="K16" s="1517"/>
      <c r="L16" s="1289" t="s">
        <v>570</v>
      </c>
      <c r="M16" s="1301" t="s">
        <v>571</v>
      </c>
      <c r="N16" s="1312" t="s">
        <v>572</v>
      </c>
    </row>
    <row r="17" spans="1:14" ht="10.5" customHeight="1" x14ac:dyDescent="0.2">
      <c r="A17" s="1567"/>
      <c r="B17" s="1568"/>
      <c r="C17" s="1571"/>
      <c r="D17" s="1542"/>
      <c r="E17" s="1296" t="s">
        <v>16</v>
      </c>
      <c r="F17" s="1305" t="s">
        <v>18</v>
      </c>
      <c r="G17" s="1296" t="s">
        <v>21</v>
      </c>
      <c r="H17" s="1295" t="s">
        <v>23</v>
      </c>
      <c r="I17" s="1295" t="s">
        <v>25</v>
      </c>
      <c r="J17" s="1499" t="s">
        <v>27</v>
      </c>
      <c r="K17" s="1500"/>
      <c r="L17" s="1305" t="s">
        <v>29</v>
      </c>
      <c r="M17" s="1297" t="s">
        <v>54</v>
      </c>
      <c r="N17" s="1313" t="s">
        <v>56</v>
      </c>
    </row>
    <row r="18" spans="1:14" ht="13.5" customHeight="1" x14ac:dyDescent="0.2">
      <c r="A18" s="1567"/>
      <c r="B18" s="1568"/>
      <c r="C18" s="1552" t="s">
        <v>900</v>
      </c>
      <c r="D18" s="1541"/>
      <c r="E18" s="1299" t="s">
        <v>442</v>
      </c>
      <c r="F18" s="1314" t="s">
        <v>574</v>
      </c>
      <c r="G18" s="1299" t="s">
        <v>575</v>
      </c>
      <c r="H18" s="1299" t="s">
        <v>576</v>
      </c>
      <c r="I18" s="1299" t="s">
        <v>577</v>
      </c>
      <c r="J18" s="1590" t="s">
        <v>578</v>
      </c>
      <c r="K18" s="1591"/>
      <c r="L18" s="1314" t="s">
        <v>579</v>
      </c>
      <c r="M18" s="1315" t="s">
        <v>445</v>
      </c>
      <c r="N18" s="1316" t="s">
        <v>294</v>
      </c>
    </row>
    <row r="19" spans="1:14" ht="10.5" customHeight="1" x14ac:dyDescent="0.2">
      <c r="A19" s="1567"/>
      <c r="B19" s="1568"/>
      <c r="C19" s="1571"/>
      <c r="D19" s="1542"/>
      <c r="E19" s="1295" t="s">
        <v>16</v>
      </c>
      <c r="F19" s="1304" t="s">
        <v>18</v>
      </c>
      <c r="G19" s="1295" t="s">
        <v>21</v>
      </c>
      <c r="H19" s="1295" t="s">
        <v>23</v>
      </c>
      <c r="I19" s="1295" t="s">
        <v>25</v>
      </c>
      <c r="J19" s="1499" t="s">
        <v>27</v>
      </c>
      <c r="K19" s="1500"/>
      <c r="L19" s="1304" t="s">
        <v>29</v>
      </c>
      <c r="M19" s="1356" t="s">
        <v>54</v>
      </c>
      <c r="N19" s="1313" t="s">
        <v>56</v>
      </c>
    </row>
    <row r="20" spans="1:14" ht="10.5" customHeight="1" x14ac:dyDescent="0.2">
      <c r="A20" s="1567"/>
      <c r="B20" s="1568"/>
      <c r="C20" s="1552" t="s">
        <v>901</v>
      </c>
      <c r="D20" s="1541"/>
      <c r="E20" s="1317" t="s">
        <v>507</v>
      </c>
      <c r="F20" s="1317" t="s">
        <v>506</v>
      </c>
      <c r="G20" s="1309" t="s">
        <v>505</v>
      </c>
      <c r="H20" s="1309" t="s">
        <v>504</v>
      </c>
      <c r="I20" s="1309" t="s">
        <v>503</v>
      </c>
      <c r="J20" s="1593" t="s">
        <v>902</v>
      </c>
      <c r="K20" s="1594"/>
      <c r="L20" s="1594"/>
      <c r="M20" s="1594"/>
      <c r="N20" s="1595"/>
    </row>
    <row r="21" spans="1:14" ht="13.5" customHeight="1" x14ac:dyDescent="0.2">
      <c r="A21" s="1569"/>
      <c r="B21" s="1570"/>
      <c r="C21" s="1571"/>
      <c r="D21" s="1542"/>
      <c r="E21" s="1304" t="s">
        <v>16</v>
      </c>
      <c r="F21" s="1304" t="s">
        <v>18</v>
      </c>
      <c r="G21" s="1295" t="s">
        <v>21</v>
      </c>
      <c r="H21" s="1295" t="s">
        <v>23</v>
      </c>
      <c r="I21" s="1295" t="s">
        <v>25</v>
      </c>
      <c r="J21" s="1596"/>
      <c r="K21" s="1597"/>
      <c r="L21" s="1597"/>
      <c r="M21" s="1597"/>
      <c r="N21" s="1598"/>
    </row>
    <row r="22" spans="1:14" ht="10.5" customHeight="1" x14ac:dyDescent="0.2">
      <c r="A22" s="1565" t="s">
        <v>700</v>
      </c>
      <c r="B22" s="1566"/>
      <c r="C22" s="1552" t="s">
        <v>903</v>
      </c>
      <c r="D22" s="1541"/>
      <c r="E22" s="1318" t="s">
        <v>508</v>
      </c>
      <c r="F22" s="1307" t="s">
        <v>48</v>
      </c>
      <c r="G22" s="1309" t="s">
        <v>509</v>
      </c>
      <c r="H22" s="1309" t="s">
        <v>562</v>
      </c>
      <c r="I22" s="1307" t="s">
        <v>552</v>
      </c>
      <c r="J22" s="1543" t="s">
        <v>510</v>
      </c>
      <c r="K22" s="1544"/>
      <c r="L22" s="1307" t="s">
        <v>681</v>
      </c>
      <c r="M22" s="1319" t="s">
        <v>511</v>
      </c>
      <c r="N22" s="1320" t="s">
        <v>512</v>
      </c>
    </row>
    <row r="23" spans="1:14" ht="13.5" customHeight="1" x14ac:dyDescent="0.2">
      <c r="A23" s="1567"/>
      <c r="B23" s="1568"/>
      <c r="C23" s="1571"/>
      <c r="D23" s="1542"/>
      <c r="E23" s="1303" t="s">
        <v>16</v>
      </c>
      <c r="F23" s="1295" t="s">
        <v>18</v>
      </c>
      <c r="G23" s="1295" t="s">
        <v>21</v>
      </c>
      <c r="H23" s="1295" t="s">
        <v>23</v>
      </c>
      <c r="I23" s="1295" t="s">
        <v>25</v>
      </c>
      <c r="J23" s="1499" t="s">
        <v>27</v>
      </c>
      <c r="K23" s="1500"/>
      <c r="L23" s="1303" t="s">
        <v>29</v>
      </c>
      <c r="M23" s="1306" t="s">
        <v>54</v>
      </c>
      <c r="N23" s="1313" t="s">
        <v>56</v>
      </c>
    </row>
    <row r="24" spans="1:14" ht="10.5" customHeight="1" x14ac:dyDescent="0.2">
      <c r="A24" s="1567"/>
      <c r="B24" s="1568"/>
      <c r="C24" s="1572" t="s">
        <v>904</v>
      </c>
      <c r="D24" s="1573"/>
      <c r="E24" s="1317" t="s">
        <v>752</v>
      </c>
      <c r="F24" s="1317" t="s">
        <v>538</v>
      </c>
      <c r="G24" s="1317" t="s">
        <v>212</v>
      </c>
      <c r="H24" s="1309" t="s">
        <v>539</v>
      </c>
      <c r="I24" s="1309" t="s">
        <v>553</v>
      </c>
      <c r="J24" s="1576" t="s">
        <v>905</v>
      </c>
      <c r="K24" s="1577"/>
      <c r="L24" s="1578"/>
      <c r="M24" s="1545" t="s">
        <v>867</v>
      </c>
      <c r="N24" s="1546"/>
    </row>
    <row r="25" spans="1:14" ht="14.25" customHeight="1" x14ac:dyDescent="0.2">
      <c r="A25" s="1569"/>
      <c r="B25" s="1570"/>
      <c r="C25" s="1574"/>
      <c r="D25" s="1575"/>
      <c r="E25" s="1305" t="s">
        <v>16</v>
      </c>
      <c r="F25" s="1321" t="s">
        <v>18</v>
      </c>
      <c r="G25" s="1305" t="s">
        <v>21</v>
      </c>
      <c r="H25" s="1296" t="s">
        <v>23</v>
      </c>
      <c r="I25" s="1296" t="s">
        <v>25</v>
      </c>
      <c r="J25" s="1579"/>
      <c r="K25" s="1580"/>
      <c r="L25" s="1581"/>
      <c r="M25" s="1547"/>
      <c r="N25" s="1548"/>
    </row>
    <row r="26" spans="1:14" ht="10.5" customHeight="1" x14ac:dyDescent="0.2">
      <c r="A26" s="1518" t="s">
        <v>749</v>
      </c>
      <c r="B26" s="1549" t="s">
        <v>906</v>
      </c>
      <c r="C26" s="1552" t="s">
        <v>907</v>
      </c>
      <c r="D26" s="1541"/>
      <c r="E26" s="1307" t="s">
        <v>513</v>
      </c>
      <c r="F26" s="1307" t="s">
        <v>514</v>
      </c>
      <c r="G26" s="1307" t="s">
        <v>515</v>
      </c>
      <c r="H26" s="1307" t="s">
        <v>516</v>
      </c>
      <c r="I26" s="1322" t="s">
        <v>517</v>
      </c>
      <c r="J26" s="1497" t="s">
        <v>518</v>
      </c>
      <c r="K26" s="1498"/>
      <c r="L26" s="1323" t="s">
        <v>519</v>
      </c>
      <c r="M26" s="1324"/>
      <c r="N26" s="1325"/>
    </row>
    <row r="27" spans="1:14" ht="13.5" customHeight="1" x14ac:dyDescent="0.2">
      <c r="A27" s="1519"/>
      <c r="B27" s="1550"/>
      <c r="C27" s="1553"/>
      <c r="D27" s="1554"/>
      <c r="E27" s="1326" t="s">
        <v>16</v>
      </c>
      <c r="F27" s="1326" t="s">
        <v>18</v>
      </c>
      <c r="G27" s="1327" t="s">
        <v>21</v>
      </c>
      <c r="H27" s="1328" t="s">
        <v>23</v>
      </c>
      <c r="I27" s="1329" t="s">
        <v>25</v>
      </c>
      <c r="J27" s="1555" t="s">
        <v>27</v>
      </c>
      <c r="K27" s="1556"/>
      <c r="L27" s="1326" t="s">
        <v>29</v>
      </c>
      <c r="M27" s="1557" t="s">
        <v>908</v>
      </c>
      <c r="N27" s="1558"/>
    </row>
    <row r="28" spans="1:14" ht="10.5" customHeight="1" x14ac:dyDescent="0.2">
      <c r="A28" s="1519"/>
      <c r="B28" s="1550"/>
      <c r="C28" s="1559" t="s">
        <v>909</v>
      </c>
      <c r="D28" s="1560"/>
      <c r="E28" s="1309" t="s">
        <v>523</v>
      </c>
      <c r="F28" s="1309" t="s">
        <v>522</v>
      </c>
      <c r="G28" s="1309" t="s">
        <v>589</v>
      </c>
      <c r="H28" s="1309" t="s">
        <v>521</v>
      </c>
      <c r="I28" s="1309" t="s">
        <v>520</v>
      </c>
      <c r="J28" s="1330" t="s">
        <v>519</v>
      </c>
      <c r="K28" s="1331"/>
      <c r="L28" s="1332"/>
      <c r="M28" s="1557"/>
      <c r="N28" s="1558"/>
    </row>
    <row r="29" spans="1:14" ht="13.5" customHeight="1" x14ac:dyDescent="0.2">
      <c r="A29" s="1519"/>
      <c r="B29" s="1551"/>
      <c r="C29" s="1561"/>
      <c r="D29" s="1562"/>
      <c r="E29" s="1295" t="s">
        <v>16</v>
      </c>
      <c r="F29" s="1295" t="s">
        <v>18</v>
      </c>
      <c r="G29" s="1295" t="s">
        <v>21</v>
      </c>
      <c r="H29" s="1333" t="s">
        <v>23</v>
      </c>
      <c r="I29" s="1295" t="s">
        <v>25</v>
      </c>
      <c r="J29" s="1499" t="s">
        <v>27</v>
      </c>
      <c r="K29" s="1500"/>
      <c r="L29" s="1334"/>
      <c r="M29" s="1335"/>
      <c r="N29" s="1336"/>
    </row>
    <row r="30" spans="1:14" ht="10.5" customHeight="1" x14ac:dyDescent="0.15">
      <c r="A30" s="1519"/>
      <c r="B30" s="1549" t="s">
        <v>910</v>
      </c>
      <c r="C30" s="1563" t="s">
        <v>911</v>
      </c>
      <c r="D30" s="1564"/>
      <c r="E30" s="1307" t="s">
        <v>524</v>
      </c>
      <c r="F30" s="1307" t="s">
        <v>525</v>
      </c>
      <c r="G30" s="1307" t="s">
        <v>548</v>
      </c>
      <c r="H30" s="1337" t="s">
        <v>526</v>
      </c>
      <c r="I30" s="1307" t="s">
        <v>549</v>
      </c>
      <c r="J30" s="1543" t="s">
        <v>527</v>
      </c>
      <c r="K30" s="1544"/>
      <c r="L30" s="1338"/>
      <c r="M30" s="1339"/>
      <c r="N30" s="1340"/>
    </row>
    <row r="31" spans="1:14" ht="13.5" customHeight="1" x14ac:dyDescent="0.15">
      <c r="A31" s="1519"/>
      <c r="B31" s="1550"/>
      <c r="C31" s="1341" t="s">
        <v>912</v>
      </c>
      <c r="D31" s="1342"/>
      <c r="E31" s="1343" t="s">
        <v>16</v>
      </c>
      <c r="F31" s="1327" t="s">
        <v>18</v>
      </c>
      <c r="G31" s="1326" t="s">
        <v>21</v>
      </c>
      <c r="H31" s="1326" t="s">
        <v>23</v>
      </c>
      <c r="I31" s="1344" t="s">
        <v>25</v>
      </c>
      <c r="J31" s="1555" t="s">
        <v>27</v>
      </c>
      <c r="K31" s="1556"/>
      <c r="L31" s="1345"/>
      <c r="M31" s="1346"/>
      <c r="N31" s="1347"/>
    </row>
    <row r="32" spans="1:14" ht="10.5" customHeight="1" x14ac:dyDescent="0.15">
      <c r="A32" s="1519"/>
      <c r="B32" s="1550"/>
      <c r="C32" s="1348" t="s">
        <v>913</v>
      </c>
      <c r="D32" s="1349" t="s">
        <v>497</v>
      </c>
      <c r="E32" s="1350" t="s">
        <v>594</v>
      </c>
      <c r="F32" s="1351" t="s">
        <v>530</v>
      </c>
      <c r="G32" s="1351" t="s">
        <v>529</v>
      </c>
      <c r="H32" s="1351" t="s">
        <v>528</v>
      </c>
      <c r="I32" s="1349" t="s">
        <v>497</v>
      </c>
      <c r="J32" s="1525" t="s">
        <v>594</v>
      </c>
      <c r="K32" s="1526"/>
      <c r="L32" s="1309" t="s">
        <v>530</v>
      </c>
      <c r="M32" s="1352" t="s">
        <v>529</v>
      </c>
      <c r="N32" s="1353" t="s">
        <v>528</v>
      </c>
    </row>
    <row r="33" spans="1:14" ht="13.5" customHeight="1" x14ac:dyDescent="0.2">
      <c r="A33" s="1519"/>
      <c r="B33" s="1551"/>
      <c r="C33" s="1354" t="s">
        <v>914</v>
      </c>
      <c r="D33" s="1355" t="s">
        <v>915</v>
      </c>
      <c r="E33" s="1304" t="s">
        <v>54</v>
      </c>
      <c r="F33" s="1295" t="s">
        <v>249</v>
      </c>
      <c r="G33" s="1296" t="s">
        <v>247</v>
      </c>
      <c r="H33" s="1295" t="s">
        <v>251</v>
      </c>
      <c r="I33" s="1355" t="s">
        <v>916</v>
      </c>
      <c r="J33" s="1527" t="s">
        <v>56</v>
      </c>
      <c r="K33" s="1528"/>
      <c r="L33" s="1295" t="s">
        <v>250</v>
      </c>
      <c r="M33" s="1306" t="s">
        <v>148</v>
      </c>
      <c r="N33" s="1313" t="s">
        <v>248</v>
      </c>
    </row>
    <row r="34" spans="1:14" ht="10.5" customHeight="1" x14ac:dyDescent="0.2">
      <c r="A34" s="1519"/>
      <c r="B34" s="1537" t="s">
        <v>917</v>
      </c>
      <c r="C34" s="1538"/>
      <c r="D34" s="1541" t="s">
        <v>692</v>
      </c>
      <c r="E34" s="1309" t="s">
        <v>532</v>
      </c>
      <c r="F34" s="1309" t="s">
        <v>531</v>
      </c>
      <c r="G34" s="1309" t="s">
        <v>598</v>
      </c>
      <c r="H34" s="1309" t="s">
        <v>533</v>
      </c>
      <c r="I34" s="1309" t="s">
        <v>550</v>
      </c>
      <c r="J34" s="1543" t="s">
        <v>534</v>
      </c>
      <c r="K34" s="1544"/>
      <c r="L34" s="1323" t="s">
        <v>535</v>
      </c>
      <c r="M34" s="1357"/>
      <c r="N34" s="1358" t="s">
        <v>707</v>
      </c>
    </row>
    <row r="35" spans="1:14" ht="13.5" customHeight="1" x14ac:dyDescent="0.2">
      <c r="A35" s="1519"/>
      <c r="B35" s="1539"/>
      <c r="C35" s="1540"/>
      <c r="D35" s="1542"/>
      <c r="E35" s="1295" t="s">
        <v>16</v>
      </c>
      <c r="F35" s="1295" t="s">
        <v>18</v>
      </c>
      <c r="G35" s="1295" t="s">
        <v>21</v>
      </c>
      <c r="H35" s="1295" t="s">
        <v>23</v>
      </c>
      <c r="I35" s="1333" t="s">
        <v>25</v>
      </c>
      <c r="J35" s="1499" t="s">
        <v>27</v>
      </c>
      <c r="K35" s="1500"/>
      <c r="L35" s="1296" t="s">
        <v>29</v>
      </c>
      <c r="M35" s="1359"/>
      <c r="N35" s="1360" t="s">
        <v>708</v>
      </c>
    </row>
    <row r="36" spans="1:14" ht="10.5" customHeight="1" x14ac:dyDescent="0.2">
      <c r="A36" s="1519"/>
      <c r="B36" s="1491" t="s">
        <v>918</v>
      </c>
      <c r="C36" s="1492"/>
      <c r="D36" s="1493"/>
      <c r="E36" s="1307" t="s">
        <v>599</v>
      </c>
      <c r="F36" s="1307" t="s">
        <v>537</v>
      </c>
      <c r="G36" s="1307" t="s">
        <v>551</v>
      </c>
      <c r="H36" s="1307" t="s">
        <v>436</v>
      </c>
      <c r="I36" s="1307" t="s">
        <v>536</v>
      </c>
      <c r="J36" s="1529" t="s">
        <v>919</v>
      </c>
      <c r="K36" s="1530"/>
      <c r="L36" s="1531"/>
      <c r="M36" s="1533" t="s">
        <v>868</v>
      </c>
      <c r="N36" s="1534"/>
    </row>
    <row r="37" spans="1:14" ht="13.5" customHeight="1" x14ac:dyDescent="0.2">
      <c r="A37" s="1520"/>
      <c r="B37" s="1494"/>
      <c r="C37" s="1495"/>
      <c r="D37" s="1496"/>
      <c r="E37" s="1295" t="s">
        <v>16</v>
      </c>
      <c r="F37" s="1333" t="s">
        <v>18</v>
      </c>
      <c r="G37" s="1361" t="s">
        <v>21</v>
      </c>
      <c r="H37" s="1295" t="s">
        <v>23</v>
      </c>
      <c r="I37" s="1295" t="s">
        <v>25</v>
      </c>
      <c r="J37" s="1532"/>
      <c r="K37" s="1514"/>
      <c r="L37" s="1515"/>
      <c r="M37" s="1535"/>
      <c r="N37" s="1536"/>
    </row>
    <row r="38" spans="1:14" ht="10.5" customHeight="1" x14ac:dyDescent="0.2">
      <c r="A38" s="1510" t="s">
        <v>920</v>
      </c>
      <c r="B38" s="1511"/>
      <c r="C38" s="1511"/>
      <c r="D38" s="1512"/>
      <c r="E38" s="1362" t="s">
        <v>921</v>
      </c>
      <c r="F38" s="1291" t="s">
        <v>684</v>
      </c>
      <c r="G38" s="1363" t="s">
        <v>542</v>
      </c>
      <c r="H38" s="1363" t="s">
        <v>541</v>
      </c>
      <c r="I38" s="1310" t="s">
        <v>540</v>
      </c>
      <c r="J38" s="1516" t="s">
        <v>687</v>
      </c>
      <c r="K38" s="1517"/>
      <c r="L38" s="1289" t="s">
        <v>686</v>
      </c>
      <c r="M38" s="1364"/>
      <c r="N38" s="1365"/>
    </row>
    <row r="39" spans="1:14" ht="13.5" customHeight="1" x14ac:dyDescent="0.2">
      <c r="A39" s="1513"/>
      <c r="B39" s="1514"/>
      <c r="C39" s="1514"/>
      <c r="D39" s="1515"/>
      <c r="E39" s="1366" t="s">
        <v>16</v>
      </c>
      <c r="F39" s="1367" t="s">
        <v>18</v>
      </c>
      <c r="G39" s="1296" t="s">
        <v>21</v>
      </c>
      <c r="H39" s="1296" t="s">
        <v>23</v>
      </c>
      <c r="I39" s="1296" t="s">
        <v>25</v>
      </c>
      <c r="J39" s="1499" t="s">
        <v>27</v>
      </c>
      <c r="K39" s="1500"/>
      <c r="L39" s="1295" t="s">
        <v>29</v>
      </c>
      <c r="M39" s="1368"/>
      <c r="N39" s="1369"/>
    </row>
    <row r="40" spans="1:14" ht="10.5" customHeight="1" x14ac:dyDescent="0.2">
      <c r="A40" s="1521" t="s">
        <v>922</v>
      </c>
      <c r="B40" s="1492"/>
      <c r="C40" s="1492"/>
      <c r="D40" s="1493"/>
      <c r="E40" s="1362" t="s">
        <v>800</v>
      </c>
      <c r="F40" s="1363" t="s">
        <v>580</v>
      </c>
      <c r="G40" s="1363" t="s">
        <v>581</v>
      </c>
      <c r="H40" s="1310" t="s">
        <v>582</v>
      </c>
      <c r="I40" s="1363" t="s">
        <v>543</v>
      </c>
      <c r="J40" s="1523" t="s">
        <v>563</v>
      </c>
      <c r="K40" s="1524"/>
      <c r="L40" s="1289" t="s">
        <v>544</v>
      </c>
      <c r="M40" s="1310" t="s">
        <v>730</v>
      </c>
      <c r="N40" s="1312" t="s">
        <v>729</v>
      </c>
    </row>
    <row r="41" spans="1:14" ht="13.5" customHeight="1" x14ac:dyDescent="0.2">
      <c r="A41" s="1522"/>
      <c r="B41" s="1495"/>
      <c r="C41" s="1495"/>
      <c r="D41" s="1496"/>
      <c r="E41" s="1366" t="s">
        <v>16</v>
      </c>
      <c r="F41" s="1296" t="s">
        <v>18</v>
      </c>
      <c r="G41" s="1367" t="s">
        <v>21</v>
      </c>
      <c r="H41" s="1306" t="s">
        <v>23</v>
      </c>
      <c r="I41" s="1296" t="s">
        <v>25</v>
      </c>
      <c r="J41" s="1499" t="s">
        <v>27</v>
      </c>
      <c r="K41" s="1500"/>
      <c r="L41" s="1296" t="s">
        <v>29</v>
      </c>
      <c r="M41" s="1296" t="s">
        <v>54</v>
      </c>
      <c r="N41" s="1370" t="s">
        <v>56</v>
      </c>
    </row>
    <row r="42" spans="1:14" ht="10.5" customHeight="1" x14ac:dyDescent="0.2">
      <c r="A42" s="1488" t="s">
        <v>737</v>
      </c>
      <c r="B42" s="1491" t="s">
        <v>923</v>
      </c>
      <c r="C42" s="1492"/>
      <c r="D42" s="1493"/>
      <c r="E42" s="1307" t="s">
        <v>600</v>
      </c>
      <c r="F42" s="1307" t="s">
        <v>547</v>
      </c>
      <c r="G42" s="1307" t="s">
        <v>546</v>
      </c>
      <c r="H42" s="1307" t="s">
        <v>555</v>
      </c>
      <c r="I42" s="1371" t="s">
        <v>554</v>
      </c>
      <c r="J42" s="1497" t="s">
        <v>545</v>
      </c>
      <c r="K42" s="1498"/>
      <c r="L42" s="1322" t="s">
        <v>735</v>
      </c>
      <c r="M42" s="1322" t="s">
        <v>601</v>
      </c>
      <c r="N42" s="1372"/>
    </row>
    <row r="43" spans="1:14" ht="13.5" customHeight="1" x14ac:dyDescent="0.2">
      <c r="A43" s="1489"/>
      <c r="B43" s="1494"/>
      <c r="C43" s="1495"/>
      <c r="D43" s="1496"/>
      <c r="E43" s="1296" t="s">
        <v>249</v>
      </c>
      <c r="F43" s="1296" t="s">
        <v>250</v>
      </c>
      <c r="G43" s="1296" t="s">
        <v>247</v>
      </c>
      <c r="H43" s="1296" t="s">
        <v>148</v>
      </c>
      <c r="I43" s="1366" t="s">
        <v>251</v>
      </c>
      <c r="J43" s="1499" t="s">
        <v>248</v>
      </c>
      <c r="K43" s="1500"/>
      <c r="L43" s="1296" t="s">
        <v>252</v>
      </c>
      <c r="M43" s="1296" t="s">
        <v>253</v>
      </c>
      <c r="N43" s="1373"/>
    </row>
    <row r="44" spans="1:14" ht="10.5" customHeight="1" x14ac:dyDescent="0.15">
      <c r="A44" s="1489"/>
      <c r="B44" s="1501" t="s">
        <v>924</v>
      </c>
      <c r="C44" s="1502"/>
      <c r="D44" s="1503"/>
      <c r="E44" s="1317" t="s">
        <v>752</v>
      </c>
      <c r="F44" s="1317" t="s">
        <v>538</v>
      </c>
      <c r="G44" s="1317" t="s">
        <v>212</v>
      </c>
      <c r="H44" s="1309" t="s">
        <v>539</v>
      </c>
      <c r="I44" s="1307" t="s">
        <v>553</v>
      </c>
      <c r="J44" s="1504" t="s">
        <v>925</v>
      </c>
      <c r="K44" s="1505"/>
      <c r="L44" s="1506"/>
      <c r="M44" s="1472"/>
      <c r="N44" s="1473"/>
    </row>
    <row r="45" spans="1:14" ht="13.5" customHeight="1" x14ac:dyDescent="0.2">
      <c r="A45" s="1489"/>
      <c r="B45" s="1476" t="s">
        <v>926</v>
      </c>
      <c r="C45" s="1477"/>
      <c r="D45" s="1478"/>
      <c r="E45" s="1296" t="s">
        <v>16</v>
      </c>
      <c r="F45" s="1367" t="s">
        <v>18</v>
      </c>
      <c r="G45" s="1296" t="s">
        <v>21</v>
      </c>
      <c r="H45" s="1296" t="s">
        <v>23</v>
      </c>
      <c r="I45" s="1374" t="s">
        <v>25</v>
      </c>
      <c r="J45" s="1507"/>
      <c r="K45" s="1508"/>
      <c r="L45" s="1509"/>
      <c r="M45" s="1474"/>
      <c r="N45" s="1475"/>
    </row>
    <row r="46" spans="1:14" ht="18.75" customHeight="1" x14ac:dyDescent="0.2">
      <c r="A46" s="1490"/>
      <c r="B46" s="1479" t="s">
        <v>927</v>
      </c>
      <c r="C46" s="1480"/>
      <c r="D46" s="1481"/>
      <c r="E46" s="1482" t="s">
        <v>706</v>
      </c>
      <c r="F46" s="1483"/>
      <c r="G46" s="1442"/>
      <c r="H46" s="1442"/>
      <c r="I46" s="1442"/>
      <c r="J46" s="1375" t="s">
        <v>928</v>
      </c>
      <c r="K46" s="1376"/>
      <c r="L46" s="1484" t="s">
        <v>929</v>
      </c>
      <c r="M46" s="1484"/>
      <c r="N46" s="1485"/>
    </row>
    <row r="47" spans="1:14" ht="8.25" customHeight="1" x14ac:dyDescent="0.15">
      <c r="A47" s="1377"/>
      <c r="B47" s="1378"/>
      <c r="C47" s="1379"/>
      <c r="D47" s="1380"/>
      <c r="E47" s="1380"/>
      <c r="F47" s="1380"/>
      <c r="G47" s="1380"/>
      <c r="H47" s="1380"/>
      <c r="I47" s="1357"/>
      <c r="J47" s="1381"/>
      <c r="K47" s="1382"/>
      <c r="L47" s="1383"/>
      <c r="M47" s="1384" t="s">
        <v>930</v>
      </c>
      <c r="N47" s="1486" t="s">
        <v>945</v>
      </c>
    </row>
    <row r="48" spans="1:14" ht="9.75" customHeight="1" x14ac:dyDescent="0.15">
      <c r="A48" s="1377"/>
      <c r="B48" s="1378"/>
      <c r="C48" s="1385"/>
      <c r="D48" s="1386"/>
      <c r="E48" s="1386"/>
      <c r="F48" s="1386"/>
      <c r="G48" s="1386"/>
      <c r="H48" s="1387"/>
      <c r="I48" s="1388"/>
      <c r="J48" s="1389"/>
      <c r="K48" s="1389"/>
      <c r="L48" s="1390"/>
      <c r="M48" s="1391" t="s">
        <v>931</v>
      </c>
      <c r="N48" s="1487"/>
    </row>
    <row r="49" spans="1:14" ht="15" customHeight="1" x14ac:dyDescent="0.2">
      <c r="A49" s="1377"/>
      <c r="B49" s="1378"/>
      <c r="C49" s="1385"/>
      <c r="D49" s="1386"/>
      <c r="E49" s="1386"/>
      <c r="F49" s="1386"/>
      <c r="G49" s="1386"/>
      <c r="H49" s="1386"/>
      <c r="I49" s="1392"/>
      <c r="J49" s="1389"/>
      <c r="K49" s="1389"/>
      <c r="L49" s="1390"/>
      <c r="M49" s="1464" t="s">
        <v>932</v>
      </c>
      <c r="N49" s="1465"/>
    </row>
    <row r="50" spans="1:14" ht="16.5" customHeight="1" x14ac:dyDescent="0.15">
      <c r="A50" s="1377"/>
      <c r="B50" s="1378"/>
      <c r="C50" s="1385"/>
      <c r="D50" s="1386"/>
      <c r="E50" s="1386"/>
      <c r="F50" s="1386"/>
      <c r="G50" s="1386"/>
      <c r="H50" s="1386"/>
      <c r="I50" s="1393"/>
      <c r="J50" s="1389"/>
      <c r="K50" s="1389"/>
      <c r="L50" s="1390"/>
      <c r="M50" s="1466"/>
      <c r="N50" s="1467"/>
    </row>
    <row r="51" spans="1:14" ht="17.25" customHeight="1" x14ac:dyDescent="0.2">
      <c r="A51" s="1394"/>
      <c r="B51" s="1395"/>
      <c r="C51" s="1396"/>
      <c r="D51" s="1396"/>
      <c r="E51" s="1396"/>
      <c r="F51" s="1396"/>
      <c r="G51" s="1396"/>
      <c r="H51" s="1396"/>
      <c r="I51" s="1397"/>
      <c r="J51" s="1398"/>
      <c r="K51" s="1398"/>
      <c r="L51" s="1399"/>
      <c r="M51" s="1468"/>
      <c r="N51" s="1469"/>
    </row>
    <row r="52" spans="1:14" ht="13.5" customHeight="1" x14ac:dyDescent="0.15">
      <c r="A52" s="1400"/>
      <c r="B52" s="1401"/>
      <c r="C52" s="1357"/>
      <c r="D52" s="1357"/>
      <c r="E52" s="1357"/>
      <c r="F52" s="1357"/>
      <c r="G52" s="1357"/>
      <c r="H52" s="1443" t="s">
        <v>933</v>
      </c>
      <c r="I52" s="1402"/>
      <c r="J52" s="1402"/>
      <c r="K52" s="1402"/>
      <c r="L52" s="1402"/>
      <c r="M52" s="1403"/>
      <c r="N52" s="1404"/>
    </row>
    <row r="53" spans="1:14" ht="19.5" customHeight="1" x14ac:dyDescent="0.2">
      <c r="A53" s="1405"/>
      <c r="B53" s="1357"/>
      <c r="C53" s="1406"/>
      <c r="D53" s="1357"/>
      <c r="E53" s="1357"/>
      <c r="F53" s="1357"/>
      <c r="G53" s="1444"/>
      <c r="H53" s="1470" t="s">
        <v>934</v>
      </c>
      <c r="I53" s="1470"/>
      <c r="J53" s="1470"/>
      <c r="K53" s="1470"/>
      <c r="L53" s="1470"/>
      <c r="M53" s="1470"/>
      <c r="N53" s="1471"/>
    </row>
    <row r="54" spans="1:14" ht="13.5" customHeight="1" x14ac:dyDescent="0.2">
      <c r="A54" s="1405"/>
      <c r="B54" s="1357"/>
      <c r="C54" s="1406"/>
      <c r="D54" s="1357"/>
      <c r="E54" s="1357"/>
      <c r="F54" s="1357"/>
      <c r="G54" s="1445"/>
      <c r="H54" s="1470"/>
      <c r="I54" s="1470"/>
      <c r="J54" s="1470"/>
      <c r="K54" s="1470"/>
      <c r="L54" s="1470"/>
      <c r="M54" s="1470"/>
      <c r="N54" s="1471"/>
    </row>
    <row r="55" spans="1:14" ht="13.5" customHeight="1" x14ac:dyDescent="0.2">
      <c r="A55" s="1405"/>
      <c r="B55" s="1357"/>
      <c r="C55" s="1406"/>
      <c r="D55" s="1357"/>
      <c r="E55" s="1357"/>
      <c r="F55" s="1357"/>
      <c r="G55" s="1445"/>
      <c r="H55" s="1470"/>
      <c r="I55" s="1470"/>
      <c r="J55" s="1470"/>
      <c r="K55" s="1470"/>
      <c r="L55" s="1470"/>
      <c r="M55" s="1470"/>
      <c r="N55" s="1471"/>
    </row>
    <row r="56" spans="1:14" ht="10.5" customHeight="1" x14ac:dyDescent="0.2">
      <c r="A56" s="1405"/>
      <c r="B56" s="1357"/>
      <c r="C56" s="1406"/>
      <c r="D56" s="1357"/>
      <c r="E56" s="1357"/>
      <c r="F56" s="1357"/>
      <c r="G56" s="1445"/>
      <c r="H56" s="1470"/>
      <c r="I56" s="1470"/>
      <c r="J56" s="1470"/>
      <c r="K56" s="1470"/>
      <c r="L56" s="1470"/>
      <c r="M56" s="1470"/>
      <c r="N56" s="1471"/>
    </row>
    <row r="57" spans="1:14" ht="13.5" customHeight="1" x14ac:dyDescent="0.2">
      <c r="A57" s="1405"/>
      <c r="B57" s="1357"/>
      <c r="C57" s="1406"/>
      <c r="D57" s="1357"/>
      <c r="E57" s="1357"/>
      <c r="F57" s="1357"/>
      <c r="G57" s="1445"/>
      <c r="H57" s="1408" t="s">
        <v>944</v>
      </c>
      <c r="I57" s="1444"/>
      <c r="J57" s="1444"/>
      <c r="K57" s="1444"/>
      <c r="L57" s="1444"/>
      <c r="M57" s="1444"/>
      <c r="N57" s="1446"/>
    </row>
    <row r="58" spans="1:14" ht="12" customHeight="1" x14ac:dyDescent="0.2">
      <c r="A58" s="1405"/>
      <c r="B58" s="1357"/>
      <c r="C58" s="1406"/>
      <c r="D58" s="1357"/>
      <c r="E58" s="1357"/>
      <c r="F58" s="1357"/>
      <c r="G58" s="1445"/>
      <c r="H58" s="1470" t="s">
        <v>943</v>
      </c>
      <c r="I58" s="1470"/>
      <c r="J58" s="1470"/>
      <c r="K58" s="1470"/>
      <c r="L58" s="1470"/>
      <c r="M58" s="1470"/>
      <c r="N58" s="1471"/>
    </row>
    <row r="59" spans="1:14" ht="13.5" customHeight="1" x14ac:dyDescent="0.2">
      <c r="A59" s="1405"/>
      <c r="B59" s="1357"/>
      <c r="C59" s="1406"/>
      <c r="D59" s="1357"/>
      <c r="E59" s="1357"/>
      <c r="F59" s="1357"/>
      <c r="G59" s="1444"/>
      <c r="H59" s="1470"/>
      <c r="I59" s="1470"/>
      <c r="J59" s="1470"/>
      <c r="K59" s="1470"/>
      <c r="L59" s="1470"/>
      <c r="M59" s="1470"/>
      <c r="N59" s="1471"/>
    </row>
    <row r="60" spans="1:14" ht="13.5" customHeight="1" x14ac:dyDescent="0.2">
      <c r="A60" s="1405"/>
      <c r="B60" s="1357"/>
      <c r="C60" s="1406"/>
      <c r="D60" s="1357"/>
      <c r="E60" s="1357"/>
      <c r="F60" s="1357"/>
      <c r="G60" s="1444"/>
      <c r="H60" s="1445" t="s">
        <v>935</v>
      </c>
      <c r="I60" s="1444"/>
      <c r="J60" s="1444"/>
      <c r="K60" s="1444"/>
      <c r="L60" s="1444"/>
      <c r="M60" s="1444"/>
      <c r="N60" s="1446"/>
    </row>
    <row r="61" spans="1:14" ht="13.5" customHeight="1" x14ac:dyDescent="0.2">
      <c r="A61" s="1405"/>
      <c r="B61" s="1357"/>
      <c r="C61" s="1406"/>
      <c r="D61" s="1357"/>
      <c r="E61" s="1357"/>
      <c r="F61" s="1357"/>
      <c r="G61" s="1357"/>
      <c r="H61" s="1447" t="s">
        <v>936</v>
      </c>
      <c r="I61" s="1402"/>
      <c r="J61" s="1402"/>
      <c r="K61" s="1402"/>
      <c r="L61" s="1402"/>
      <c r="M61" s="1402"/>
      <c r="N61" s="1407"/>
    </row>
    <row r="62" spans="1:14" ht="14.25" customHeight="1" x14ac:dyDescent="0.2">
      <c r="A62" s="1405"/>
      <c r="B62" s="1357"/>
      <c r="C62" s="1406"/>
      <c r="D62" s="1357"/>
      <c r="E62" s="1357"/>
      <c r="F62" s="1357"/>
      <c r="G62" s="1357"/>
      <c r="H62" s="1408" t="s">
        <v>937</v>
      </c>
      <c r="I62" s="1402"/>
      <c r="J62" s="1402"/>
      <c r="K62" s="1402"/>
      <c r="L62" s="1402"/>
      <c r="M62" s="1402"/>
      <c r="N62" s="1407"/>
    </row>
    <row r="63" spans="1:14" ht="13.5" customHeight="1" x14ac:dyDescent="0.2">
      <c r="A63" s="1412"/>
      <c r="B63" s="1396"/>
      <c r="C63" s="1396"/>
      <c r="D63" s="1396"/>
      <c r="E63" s="1396"/>
      <c r="F63" s="1396"/>
      <c r="G63" s="1396"/>
      <c r="H63" s="1396"/>
      <c r="I63" s="1396"/>
      <c r="J63" s="1396"/>
      <c r="K63" s="1396"/>
      <c r="L63" s="1396"/>
      <c r="M63" s="1396"/>
      <c r="N63" s="1413"/>
    </row>
    <row r="64" spans="1:14" ht="13.5" customHeight="1" x14ac:dyDescent="0.2">
      <c r="C64" s="1275"/>
      <c r="N64" s="1275"/>
    </row>
    <row r="65" spans="3:14" ht="13.5" customHeight="1" x14ac:dyDescent="0.2">
      <c r="C65" s="1275"/>
      <c r="N65" s="1275"/>
    </row>
  </sheetData>
  <sheetProtection password="CC63" sheet="1" objects="1" scenarios="1"/>
  <mergeCells count="80">
    <mergeCell ref="A4:B5"/>
    <mergeCell ref="C4:D4"/>
    <mergeCell ref="J4:N5"/>
    <mergeCell ref="C5:D5"/>
    <mergeCell ref="A3:D3"/>
    <mergeCell ref="E3:L3"/>
    <mergeCell ref="E6:I6"/>
    <mergeCell ref="C8:D9"/>
    <mergeCell ref="C10:D11"/>
    <mergeCell ref="C12:D13"/>
    <mergeCell ref="M1:N1"/>
    <mergeCell ref="M2:N2"/>
    <mergeCell ref="A1:D2"/>
    <mergeCell ref="F1:G1"/>
    <mergeCell ref="I1:K1"/>
    <mergeCell ref="J12:K12"/>
    <mergeCell ref="J13:K13"/>
    <mergeCell ref="A14:B21"/>
    <mergeCell ref="C14:D15"/>
    <mergeCell ref="J14:K14"/>
    <mergeCell ref="J15:K15"/>
    <mergeCell ref="C16:D17"/>
    <mergeCell ref="J16:K16"/>
    <mergeCell ref="J17:K17"/>
    <mergeCell ref="C18:D19"/>
    <mergeCell ref="J18:K18"/>
    <mergeCell ref="J19:K19"/>
    <mergeCell ref="C20:D21"/>
    <mergeCell ref="J20:N21"/>
    <mergeCell ref="A6:B13"/>
    <mergeCell ref="C6:D7"/>
    <mergeCell ref="M24:N25"/>
    <mergeCell ref="B26:B29"/>
    <mergeCell ref="C26:D27"/>
    <mergeCell ref="J26:K26"/>
    <mergeCell ref="J27:K27"/>
    <mergeCell ref="M27:N28"/>
    <mergeCell ref="C28:D29"/>
    <mergeCell ref="J29:K29"/>
    <mergeCell ref="A22:B25"/>
    <mergeCell ref="C22:D23"/>
    <mergeCell ref="J22:K22"/>
    <mergeCell ref="J23:K23"/>
    <mergeCell ref="C24:D25"/>
    <mergeCell ref="J24:L25"/>
    <mergeCell ref="M36:N37"/>
    <mergeCell ref="B34:C35"/>
    <mergeCell ref="D34:D35"/>
    <mergeCell ref="J34:K34"/>
    <mergeCell ref="J35:K35"/>
    <mergeCell ref="A38:D39"/>
    <mergeCell ref="J38:K38"/>
    <mergeCell ref="J39:K39"/>
    <mergeCell ref="A26:A37"/>
    <mergeCell ref="A40:D41"/>
    <mergeCell ref="J40:K40"/>
    <mergeCell ref="J41:K41"/>
    <mergeCell ref="J32:K32"/>
    <mergeCell ref="J33:K33"/>
    <mergeCell ref="B36:D37"/>
    <mergeCell ref="J36:L37"/>
    <mergeCell ref="B30:B33"/>
    <mergeCell ref="C30:D30"/>
    <mergeCell ref="J30:K30"/>
    <mergeCell ref="J31:K31"/>
    <mergeCell ref="A42:A46"/>
    <mergeCell ref="B42:D43"/>
    <mergeCell ref="J42:K42"/>
    <mergeCell ref="J43:K43"/>
    <mergeCell ref="B44:D44"/>
    <mergeCell ref="J44:L45"/>
    <mergeCell ref="M49:N51"/>
    <mergeCell ref="H53:N56"/>
    <mergeCell ref="H58:N59"/>
    <mergeCell ref="M44:N45"/>
    <mergeCell ref="B45:D45"/>
    <mergeCell ref="B46:D46"/>
    <mergeCell ref="E46:F46"/>
    <mergeCell ref="L46:N46"/>
    <mergeCell ref="N47:N48"/>
  </mergeCells>
  <pageMargins left="0.26" right="0.18" top="0.53" bottom="0.35" header="0.3" footer="0.21"/>
  <pageSetup paperSize="9" orientation="portrait" horizontalDpi="4294967293" verticalDpi="0" r:id="rId1"/>
  <ignoredErrors>
    <ignoredError sqref="N14 L9 L7" numberStoredAsText="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42"/>
  <sheetViews>
    <sheetView showGridLines="0" topLeftCell="A4" zoomScale="118" zoomScaleNormal="118" workbookViewId="0">
      <selection activeCell="Y37" sqref="Y37"/>
    </sheetView>
  </sheetViews>
  <sheetFormatPr baseColWidth="10" defaultColWidth="11.42578125" defaultRowHeight="14.25" x14ac:dyDescent="0.2"/>
  <cols>
    <col min="1" max="1" width="3" style="363" customWidth="1"/>
    <col min="2" max="2" width="9.7109375" style="363" customWidth="1"/>
    <col min="3" max="3" width="7.7109375" style="377" customWidth="1"/>
    <col min="4" max="4" width="6.7109375" style="377" customWidth="1"/>
    <col min="5" max="5" width="6.7109375" style="363" customWidth="1"/>
    <col min="6" max="6" width="8.5703125" style="363" customWidth="1"/>
    <col min="7" max="8" width="8.42578125" style="363" customWidth="1"/>
    <col min="9" max="13" width="8.28515625" style="363" customWidth="1"/>
    <col min="14" max="14" width="8.28515625" style="376" customWidth="1"/>
    <col min="15" max="15" width="7.85546875" style="376" customWidth="1"/>
    <col min="16" max="16" width="6.140625" style="376" customWidth="1"/>
    <col min="17" max="17" width="1.7109375" style="376" customWidth="1"/>
    <col min="18" max="18" width="5.7109375" style="376" customWidth="1"/>
    <col min="19" max="19" width="7.85546875" style="363" customWidth="1"/>
    <col min="20" max="20" width="6.85546875" style="363" customWidth="1"/>
    <col min="21" max="21" width="2.140625" style="363" customWidth="1"/>
    <col min="22" max="22" width="7.28515625" style="363" customWidth="1"/>
    <col min="23" max="23" width="5.42578125" style="363" customWidth="1"/>
    <col min="24" max="24" width="6.42578125" style="363" customWidth="1"/>
    <col min="25" max="25" width="7.28515625" style="363" customWidth="1"/>
    <col min="26" max="26" width="6.42578125" style="363" customWidth="1"/>
    <col min="27" max="27" width="6.5703125" style="363" customWidth="1"/>
    <col min="28" max="28" width="8.7109375" style="363" customWidth="1"/>
    <col min="29" max="29" width="11.42578125" style="363"/>
    <col min="30" max="30" width="9.42578125" style="363" customWidth="1"/>
    <col min="31" max="16384" width="11.42578125" style="363"/>
  </cols>
  <sheetData>
    <row r="1" spans="1:30" ht="15" thickBot="1" x14ac:dyDescent="0.25"/>
    <row r="2" spans="1:30" ht="28.5" customHeight="1" thickBot="1" x14ac:dyDescent="0.25">
      <c r="F2" s="2838" t="s">
        <v>954</v>
      </c>
      <c r="G2" s="2839"/>
      <c r="H2" s="2839"/>
      <c r="I2" s="2839"/>
      <c r="J2" s="2839"/>
      <c r="K2" s="2839"/>
      <c r="L2" s="2839"/>
      <c r="M2" s="2839"/>
      <c r="N2" s="2840"/>
      <c r="P2" s="379"/>
      <c r="S2" s="376"/>
    </row>
    <row r="3" spans="1:30" ht="12" customHeight="1" x14ac:dyDescent="0.2"/>
    <row r="4" spans="1:30" ht="13.5" customHeight="1" x14ac:dyDescent="0.2">
      <c r="A4" s="2017" t="s">
        <v>762</v>
      </c>
      <c r="B4" s="2018"/>
      <c r="C4" s="2018"/>
      <c r="D4" s="2018"/>
      <c r="E4" s="2019"/>
      <c r="F4" s="1203" t="s">
        <v>654</v>
      </c>
      <c r="G4" s="2026" t="s">
        <v>731</v>
      </c>
      <c r="H4" s="2026"/>
      <c r="I4" s="1203" t="s">
        <v>647</v>
      </c>
      <c r="J4" s="2027" t="s">
        <v>866</v>
      </c>
      <c r="K4" s="2027"/>
      <c r="L4" s="1204" t="s">
        <v>592</v>
      </c>
      <c r="M4" s="2028"/>
      <c r="N4" s="2028"/>
      <c r="O4" s="1204" t="s">
        <v>556</v>
      </c>
      <c r="P4" s="1252"/>
      <c r="Q4" s="1252"/>
      <c r="R4" s="1252"/>
      <c r="S4" s="1205" t="s">
        <v>648</v>
      </c>
      <c r="T4" s="659"/>
      <c r="U4" s="365"/>
      <c r="V4" s="2029" t="s">
        <v>764</v>
      </c>
      <c r="W4" s="2029"/>
      <c r="X4" s="2029"/>
      <c r="Y4" s="2029"/>
      <c r="Z4" s="2029"/>
      <c r="AA4" s="2029"/>
      <c r="AB4" s="2029"/>
      <c r="AC4" s="958"/>
      <c r="AD4" s="958"/>
    </row>
    <row r="5" spans="1:30" ht="10.5" customHeight="1" x14ac:dyDescent="0.2">
      <c r="A5" s="2020"/>
      <c r="B5" s="2021"/>
      <c r="C5" s="2021"/>
      <c r="D5" s="2021"/>
      <c r="E5" s="2022"/>
      <c r="F5" s="2030" t="s">
        <v>771</v>
      </c>
      <c r="G5" s="2030"/>
      <c r="H5" s="2030"/>
      <c r="I5" s="2030"/>
      <c r="J5" s="2030"/>
      <c r="K5" s="2030"/>
      <c r="L5" s="2030"/>
      <c r="M5" s="2030"/>
      <c r="N5" s="2031"/>
      <c r="O5" s="2034" t="s">
        <v>773</v>
      </c>
      <c r="P5" s="2035"/>
      <c r="Q5" s="2035"/>
      <c r="R5" s="1182" t="s">
        <v>859</v>
      </c>
      <c r="S5" s="1183"/>
      <c r="T5" s="1184"/>
      <c r="U5" s="638"/>
      <c r="V5" s="2038" t="s">
        <v>811</v>
      </c>
      <c r="W5" s="2038"/>
      <c r="X5" s="2038"/>
      <c r="Y5" s="2038"/>
      <c r="Z5" s="2038"/>
      <c r="AA5" s="2038"/>
      <c r="AB5" s="2038"/>
      <c r="AC5" s="2038"/>
    </row>
    <row r="6" spans="1:30" ht="9" customHeight="1" x14ac:dyDescent="0.2">
      <c r="A6" s="2023"/>
      <c r="B6" s="2024"/>
      <c r="C6" s="2024"/>
      <c r="D6" s="2024"/>
      <c r="E6" s="2025"/>
      <c r="F6" s="2032"/>
      <c r="G6" s="2032"/>
      <c r="H6" s="2032"/>
      <c r="I6" s="2032"/>
      <c r="J6" s="2032"/>
      <c r="K6" s="2032"/>
      <c r="L6" s="2032"/>
      <c r="M6" s="2032"/>
      <c r="N6" s="2033"/>
      <c r="O6" s="2036"/>
      <c r="P6" s="2037"/>
      <c r="Q6" s="2037"/>
      <c r="R6" s="1185" t="s">
        <v>858</v>
      </c>
      <c r="S6" s="1186"/>
      <c r="T6" s="1187"/>
      <c r="U6" s="638"/>
      <c r="V6" s="2038"/>
      <c r="W6" s="2038"/>
      <c r="X6" s="2038"/>
      <c r="Y6" s="2038"/>
      <c r="Z6" s="2038"/>
      <c r="AA6" s="2038"/>
      <c r="AB6" s="2038"/>
      <c r="AC6" s="2038"/>
    </row>
    <row r="7" spans="1:30" ht="12" customHeight="1" x14ac:dyDescent="0.2">
      <c r="A7" s="2039" t="s">
        <v>702</v>
      </c>
      <c r="B7" s="2040"/>
      <c r="C7" s="2043" t="s">
        <v>726</v>
      </c>
      <c r="D7" s="2044"/>
      <c r="E7" s="2045"/>
      <c r="F7" s="1261" t="s">
        <v>705</v>
      </c>
      <c r="G7" s="1191" t="s">
        <v>703</v>
      </c>
      <c r="H7" s="1191" t="s">
        <v>704</v>
      </c>
      <c r="I7" s="1190" t="s">
        <v>776</v>
      </c>
      <c r="J7" s="1257">
        <v>15</v>
      </c>
      <c r="K7" s="2046" t="s">
        <v>812</v>
      </c>
      <c r="L7" s="2047"/>
      <c r="M7" s="2047"/>
      <c r="N7" s="2048"/>
      <c r="O7" s="2052" t="s">
        <v>836</v>
      </c>
      <c r="P7" s="2053"/>
      <c r="Q7" s="2054"/>
      <c r="R7" s="2055" t="str">
        <f>IF(AND(P15="",P17="",P19=""),"Input of RQD, Vb and/or Jv                                                            must be given","")</f>
        <v/>
      </c>
      <c r="S7" s="2055"/>
      <c r="T7" s="2056"/>
      <c r="V7" s="2038"/>
      <c r="W7" s="2038"/>
      <c r="X7" s="2038"/>
      <c r="Y7" s="2038"/>
      <c r="Z7" s="2038"/>
      <c r="AA7" s="2038"/>
      <c r="AB7" s="2038"/>
      <c r="AC7" s="2038"/>
    </row>
    <row r="8" spans="1:30" ht="10.5" customHeight="1" x14ac:dyDescent="0.2">
      <c r="A8" s="2041"/>
      <c r="B8" s="2042"/>
      <c r="C8" s="1162"/>
      <c r="D8" s="1163"/>
      <c r="E8" s="1189" t="s">
        <v>860</v>
      </c>
      <c r="F8" s="1164" t="s">
        <v>877</v>
      </c>
      <c r="G8" s="1165"/>
      <c r="H8" s="1258"/>
      <c r="I8" s="1259"/>
      <c r="J8" s="1259"/>
      <c r="K8" s="2049"/>
      <c r="L8" s="2050"/>
      <c r="M8" s="2050"/>
      <c r="N8" s="2051"/>
      <c r="O8" s="2059" t="s">
        <v>772</v>
      </c>
      <c r="P8" s="2060"/>
      <c r="Q8" s="2061"/>
      <c r="R8" s="2057"/>
      <c r="S8" s="2057"/>
      <c r="T8" s="2058"/>
      <c r="U8" s="2062" t="str">
        <f>IF(OR(W15="",W16=""),"",IF(OR(W15&gt;2*W16,W16&gt;2*W15),"Poor correlation RQD vs. Jv or Vb",IF(OR(W17="",W18=""),"",IF(OR(W17&gt;5*W18,W18&gt;5*W17),"Poor correlation Vb  vs.  Jv or RQD",""))))</f>
        <v/>
      </c>
      <c r="V8" s="2038"/>
      <c r="W8" s="2038"/>
      <c r="X8" s="2038"/>
      <c r="Y8" s="2038"/>
      <c r="Z8" s="2038"/>
      <c r="AA8" s="2038"/>
      <c r="AB8" s="2038"/>
      <c r="AC8" s="2038"/>
    </row>
    <row r="9" spans="1:30" ht="10.5" customHeight="1" x14ac:dyDescent="0.15">
      <c r="A9" s="2039" t="s">
        <v>713</v>
      </c>
      <c r="B9" s="2063"/>
      <c r="C9" s="2067" t="s">
        <v>736</v>
      </c>
      <c r="D9" s="2068"/>
      <c r="E9" s="2069"/>
      <c r="F9" s="1246" t="s">
        <v>878</v>
      </c>
      <c r="G9" s="1247"/>
      <c r="H9" s="1247"/>
      <c r="I9" s="1247"/>
      <c r="J9" s="1248"/>
      <c r="K9" s="960" t="s">
        <v>560</v>
      </c>
      <c r="L9" s="584" t="s">
        <v>561</v>
      </c>
      <c r="M9" s="542" t="s">
        <v>711</v>
      </c>
      <c r="N9" s="544" t="s">
        <v>710</v>
      </c>
      <c r="O9" s="2070" t="s">
        <v>864</v>
      </c>
      <c r="P9" s="2071"/>
      <c r="Q9" s="2072"/>
      <c r="R9" s="2073" t="s">
        <v>851</v>
      </c>
      <c r="S9" s="2073"/>
      <c r="T9" s="2074"/>
      <c r="U9" s="2062"/>
      <c r="V9" s="2038"/>
      <c r="W9" s="2038"/>
      <c r="X9" s="2038"/>
      <c r="Y9" s="2038"/>
      <c r="Z9" s="2038"/>
      <c r="AA9" s="2038"/>
      <c r="AB9" s="2038"/>
      <c r="AC9" s="2038"/>
      <c r="AD9" s="1242"/>
    </row>
    <row r="10" spans="1:30" ht="10.5" customHeight="1" x14ac:dyDescent="0.2">
      <c r="A10" s="2064"/>
      <c r="B10" s="2065"/>
      <c r="C10" s="2075" t="s">
        <v>792</v>
      </c>
      <c r="D10" s="2076"/>
      <c r="E10" s="2077"/>
      <c r="F10" s="1253" t="s">
        <v>879</v>
      </c>
      <c r="G10" s="1254"/>
      <c r="H10" s="1254"/>
      <c r="I10" s="1254"/>
      <c r="J10" s="1255"/>
      <c r="K10" s="1058" t="s">
        <v>869</v>
      </c>
      <c r="L10" s="1055" t="s">
        <v>723</v>
      </c>
      <c r="M10" s="1056" t="s">
        <v>872</v>
      </c>
      <c r="N10" s="1057" t="s">
        <v>874</v>
      </c>
      <c r="O10" s="1160" t="s">
        <v>785</v>
      </c>
      <c r="P10" s="1161" t="s">
        <v>876</v>
      </c>
      <c r="Q10" s="983"/>
      <c r="R10" s="983"/>
      <c r="S10" s="983"/>
      <c r="T10" s="984"/>
      <c r="U10" s="2062"/>
      <c r="V10" s="2038"/>
      <c r="W10" s="2038"/>
      <c r="X10" s="2038"/>
      <c r="Y10" s="2038"/>
      <c r="Z10" s="2038"/>
      <c r="AA10" s="2038"/>
      <c r="AB10" s="2038"/>
      <c r="AC10" s="2038"/>
      <c r="AD10" s="1242"/>
    </row>
    <row r="11" spans="1:30" ht="10.5" customHeight="1" x14ac:dyDescent="0.2">
      <c r="A11" s="2064"/>
      <c r="B11" s="2065"/>
      <c r="C11" s="2078" t="s">
        <v>793</v>
      </c>
      <c r="D11" s="2079"/>
      <c r="E11" s="2080"/>
      <c r="F11" s="962" t="s">
        <v>677</v>
      </c>
      <c r="G11" s="600" t="s">
        <v>676</v>
      </c>
      <c r="H11" s="600" t="s">
        <v>652</v>
      </c>
      <c r="I11" s="600" t="s">
        <v>675</v>
      </c>
      <c r="J11" s="611" t="s">
        <v>653</v>
      </c>
      <c r="K11" s="1058" t="s">
        <v>839</v>
      </c>
      <c r="L11" s="1055" t="s">
        <v>871</v>
      </c>
      <c r="M11" s="1059" t="s">
        <v>873</v>
      </c>
      <c r="N11" s="1057" t="s">
        <v>875</v>
      </c>
      <c r="O11" s="2084" t="s">
        <v>751</v>
      </c>
      <c r="P11" s="2086" t="s">
        <v>16</v>
      </c>
      <c r="Q11" s="2087"/>
      <c r="R11" s="2090" t="str">
        <f>IF(P11="","",IF(OR(P11="a",P11="b",P11="c",P11="d",P11="e"),"","check input"))</f>
        <v/>
      </c>
      <c r="S11" s="2006"/>
      <c r="T11" s="2007"/>
      <c r="U11" s="2062"/>
      <c r="V11" s="666" t="s">
        <v>791</v>
      </c>
      <c r="X11" s="575"/>
      <c r="Y11" s="575"/>
      <c r="Z11" s="575"/>
      <c r="AA11" s="575"/>
      <c r="AB11" s="575"/>
      <c r="AC11" s="575"/>
    </row>
    <row r="12" spans="1:30" ht="10.5" customHeight="1" thickBot="1" x14ac:dyDescent="0.25">
      <c r="A12" s="2064"/>
      <c r="B12" s="2065"/>
      <c r="C12" s="2081"/>
      <c r="D12" s="2082"/>
      <c r="E12" s="2083"/>
      <c r="F12" s="1071" t="s">
        <v>16</v>
      </c>
      <c r="G12" s="1072" t="s">
        <v>18</v>
      </c>
      <c r="H12" s="1073" t="s">
        <v>21</v>
      </c>
      <c r="I12" s="1073" t="s">
        <v>23</v>
      </c>
      <c r="J12" s="1074" t="s">
        <v>25</v>
      </c>
      <c r="K12" s="1264" t="s">
        <v>870</v>
      </c>
      <c r="L12" s="1060"/>
      <c r="M12" s="1061"/>
      <c r="N12" s="1062"/>
      <c r="O12" s="2085"/>
      <c r="P12" s="2088"/>
      <c r="Q12" s="2089"/>
      <c r="R12" s="1899"/>
      <c r="S12" s="2008"/>
      <c r="T12" s="2009"/>
      <c r="U12" s="2062"/>
      <c r="V12" s="364"/>
      <c r="W12" s="365"/>
      <c r="X12" s="640"/>
      <c r="Y12" s="640"/>
      <c r="Z12" s="640"/>
      <c r="AA12" s="640"/>
      <c r="AB12" s="640"/>
      <c r="AC12" s="546"/>
    </row>
    <row r="13" spans="1:30" ht="9.6" customHeight="1" thickTop="1" x14ac:dyDescent="0.2">
      <c r="A13" s="2064"/>
      <c r="B13" s="2065"/>
      <c r="C13" s="1974" t="s">
        <v>797</v>
      </c>
      <c r="D13" s="2010"/>
      <c r="E13" s="1859" t="s">
        <v>775</v>
      </c>
      <c r="F13" s="962" t="s">
        <v>498</v>
      </c>
      <c r="G13" s="600" t="s">
        <v>484</v>
      </c>
      <c r="H13" s="600" t="s">
        <v>499</v>
      </c>
      <c r="I13" s="600" t="s">
        <v>500</v>
      </c>
      <c r="J13" s="600" t="s">
        <v>583</v>
      </c>
      <c r="K13" s="964" t="s">
        <v>719</v>
      </c>
      <c r="L13" s="601" t="s">
        <v>717</v>
      </c>
      <c r="M13" s="602" t="s">
        <v>718</v>
      </c>
      <c r="N13" s="603" t="s">
        <v>501</v>
      </c>
      <c r="O13" s="1919" t="s">
        <v>564</v>
      </c>
      <c r="P13" s="1863" t="s">
        <v>27</v>
      </c>
      <c r="Q13" s="1864"/>
      <c r="R13" s="1898" t="str">
        <f>IF(P13="","",IF(OR(P13="a",P13="b",P13="c",P13="d",P13="e",P13="f",P13="g",P13="h",P13="i"),"","check input"))</f>
        <v/>
      </c>
      <c r="S13" s="1900" t="str">
        <f>IF(AND(P15="",P17="",P19=""),"","Value used =")</f>
        <v>Value used =</v>
      </c>
      <c r="T13" s="2013">
        <f>IF(AND(P15="",P17="",P19=""),"",E103)</f>
        <v>87.5</v>
      </c>
      <c r="U13" s="2062"/>
      <c r="V13" s="2015" t="s">
        <v>651</v>
      </c>
      <c r="W13" s="2015"/>
      <c r="X13" s="2015"/>
      <c r="Y13" s="2015"/>
      <c r="Z13" s="1982" t="s">
        <v>765</v>
      </c>
      <c r="AA13" s="1982"/>
      <c r="AB13" s="1982"/>
      <c r="AC13" s="1982"/>
    </row>
    <row r="14" spans="1:30" ht="10.5" customHeight="1" x14ac:dyDescent="0.2">
      <c r="A14" s="2041"/>
      <c r="B14" s="2066"/>
      <c r="C14" s="1976"/>
      <c r="D14" s="2011"/>
      <c r="E14" s="1861"/>
      <c r="F14" s="1066" t="s">
        <v>16</v>
      </c>
      <c r="G14" s="1067" t="s">
        <v>18</v>
      </c>
      <c r="H14" s="1068" t="s">
        <v>21</v>
      </c>
      <c r="I14" s="1068" t="s">
        <v>23</v>
      </c>
      <c r="J14" s="1166" t="s">
        <v>25</v>
      </c>
      <c r="K14" s="1095" t="s">
        <v>27</v>
      </c>
      <c r="L14" s="1068" t="s">
        <v>29</v>
      </c>
      <c r="M14" s="1069" t="s">
        <v>54</v>
      </c>
      <c r="N14" s="1070" t="s">
        <v>56</v>
      </c>
      <c r="O14" s="2012"/>
      <c r="P14" s="1853"/>
      <c r="Q14" s="1854"/>
      <c r="R14" s="1899"/>
      <c r="S14" s="1901"/>
      <c r="T14" s="2014"/>
      <c r="U14" s="2062"/>
      <c r="V14" s="2016"/>
      <c r="W14" s="2016"/>
      <c r="X14" s="2016"/>
      <c r="Y14" s="2016"/>
      <c r="Z14" s="1983"/>
      <c r="AA14" s="1983"/>
      <c r="AB14" s="1983"/>
      <c r="AC14" s="1983"/>
    </row>
    <row r="15" spans="1:30" ht="9.6" customHeight="1" x14ac:dyDescent="0.2">
      <c r="A15" s="1984" t="s">
        <v>756</v>
      </c>
      <c r="B15" s="1985"/>
      <c r="C15" s="1988" t="s">
        <v>794</v>
      </c>
      <c r="D15" s="1989"/>
      <c r="E15" s="1990"/>
      <c r="F15" s="604" t="s">
        <v>482</v>
      </c>
      <c r="G15" s="604" t="s">
        <v>483</v>
      </c>
      <c r="H15" s="604" t="s">
        <v>588</v>
      </c>
      <c r="I15" s="604" t="s">
        <v>587</v>
      </c>
      <c r="J15" s="604" t="s">
        <v>586</v>
      </c>
      <c r="K15" s="963" t="s">
        <v>585</v>
      </c>
      <c r="L15" s="605" t="s">
        <v>480</v>
      </c>
      <c r="M15" s="606" t="s">
        <v>481</v>
      </c>
      <c r="N15" s="1265" t="s">
        <v>584</v>
      </c>
      <c r="O15" s="1919" t="s">
        <v>33</v>
      </c>
      <c r="P15" s="1863" t="s">
        <v>23</v>
      </c>
      <c r="Q15" s="1864"/>
      <c r="R15" s="1898" t="str">
        <f>IF(P15="","",IF(OR(P15="a",P15="b",P15="c",P15="d",P15="e",P15="f",P15="g",P15="h",P15="i"),"","check input"))</f>
        <v/>
      </c>
      <c r="S15" s="1900" t="str">
        <f>IF(AND(P15="",P17="",P19=""),"","Value used =")</f>
        <v>Value used =</v>
      </c>
      <c r="T15" s="1996">
        <f>IF(AND(P15="",P17="",P19=""),"",E72)</f>
        <v>45</v>
      </c>
      <c r="U15" s="2062"/>
      <c r="V15" s="911" t="str">
        <f>IF(P15="","","RQD =")</f>
        <v>RQD =</v>
      </c>
      <c r="W15" s="912">
        <f>IF(P15="","",IF(P15="a",'Parameter tables'!J29,IF(P15="b",'Parameter tables'!J30,IF(P15="c",'Parameter tables'!J31,IF(P15="d",'Parameter tables'!J32,IF(P15="e",'Parameter tables'!J33,IF(P15="f",'Parameter tables'!J34,IF(P15="g",'Parameter tables'!J35,IF(P15="h",'Parameter tables'!J36,IF(P15="i",'Parameter tables'!J37,"?"))))))))))</f>
        <v>45</v>
      </c>
      <c r="X15" s="913" t="str">
        <f>IF(W15="",""," (RQD input)")</f>
        <v xml:space="preserve"> (RQD input)</v>
      </c>
      <c r="Y15" s="914"/>
      <c r="Z15" s="905" t="str">
        <f>IF(P15&lt;&gt;"","← The RQD gives often a crude measurement of the degree of jointing","")</f>
        <v>← The RQD gives often a crude measurement of the degree of jointing</v>
      </c>
      <c r="AA15" s="388"/>
      <c r="AB15" s="388"/>
      <c r="AC15" s="388"/>
    </row>
    <row r="16" spans="1:30" ht="10.5" customHeight="1" x14ac:dyDescent="0.2">
      <c r="A16" s="1986"/>
      <c r="B16" s="1987"/>
      <c r="C16" s="1942"/>
      <c r="D16" s="1943"/>
      <c r="E16" s="1991"/>
      <c r="F16" s="1075" t="s">
        <v>16</v>
      </c>
      <c r="G16" s="1076" t="s">
        <v>18</v>
      </c>
      <c r="H16" s="1077" t="s">
        <v>21</v>
      </c>
      <c r="I16" s="1077" t="s">
        <v>23</v>
      </c>
      <c r="J16" s="1068" t="s">
        <v>25</v>
      </c>
      <c r="K16" s="1078" t="s">
        <v>27</v>
      </c>
      <c r="L16" s="1077" t="s">
        <v>29</v>
      </c>
      <c r="M16" s="1079" t="s">
        <v>54</v>
      </c>
      <c r="N16" s="1070" t="s">
        <v>56</v>
      </c>
      <c r="O16" s="1920"/>
      <c r="P16" s="1853"/>
      <c r="Q16" s="1854"/>
      <c r="R16" s="1899"/>
      <c r="S16" s="1901"/>
      <c r="T16" s="1997"/>
      <c r="U16" s="2062"/>
      <c r="V16" s="915" t="str">
        <f>IF(W16="","","RQD =")</f>
        <v>RQD =</v>
      </c>
      <c r="W16" s="916">
        <f>IF(AA16="","",IF(AA16&lt;0,0,IF(AA16&gt;100,100,AA16)))</f>
        <v>68.841477537799577</v>
      </c>
      <c r="X16" s="917" t="str">
        <f>AB16</f>
        <v xml:space="preserve"> (calculated from Vb)</v>
      </c>
      <c r="Y16" s="918"/>
      <c r="Z16" s="925" t="str">
        <f>IF(AA16="","","RQD =")</f>
        <v>RQD =</v>
      </c>
      <c r="AA16" s="926">
        <f>IF(AND(P17="",P19=""),"",IF(AND(P19&lt;&gt;"",P17=""),110-2.5*W19,IF(AND(AA17&gt;0),110-2.5*(36/AA17)^0.333,"")))</f>
        <v>68.841477537799577</v>
      </c>
      <c r="AB16" s="927" t="str">
        <f>IF(P17&lt;&gt;""," (calculated from Vb)",IF(P19&lt;&gt;"","(calculated from Jv)",""))</f>
        <v xml:space="preserve"> (calculated from Vb)</v>
      </c>
      <c r="AC16" s="390"/>
    </row>
    <row r="17" spans="1:30" ht="9.6" customHeight="1" x14ac:dyDescent="0.2">
      <c r="A17" s="1986"/>
      <c r="B17" s="1987"/>
      <c r="C17" s="1951" t="s">
        <v>795</v>
      </c>
      <c r="D17" s="1952"/>
      <c r="E17" s="1859" t="s">
        <v>701</v>
      </c>
      <c r="F17" s="608" t="s">
        <v>502</v>
      </c>
      <c r="G17" s="609" t="s">
        <v>565</v>
      </c>
      <c r="H17" s="608" t="s">
        <v>566</v>
      </c>
      <c r="I17" s="610" t="s">
        <v>567</v>
      </c>
      <c r="J17" s="608" t="s">
        <v>568</v>
      </c>
      <c r="K17" s="961" t="s">
        <v>569</v>
      </c>
      <c r="L17" s="600" t="s">
        <v>570</v>
      </c>
      <c r="M17" s="606" t="s">
        <v>571</v>
      </c>
      <c r="N17" s="611" t="s">
        <v>572</v>
      </c>
      <c r="O17" s="1919" t="s">
        <v>137</v>
      </c>
      <c r="P17" s="1863" t="s">
        <v>23</v>
      </c>
      <c r="Q17" s="1864"/>
      <c r="R17" s="1898" t="str">
        <f>IF(P17="","",IF(OR(P17="a",P17="b",P17="c",P17="d",P17="e",P17="f",P17="g",P17="h",P17="i"),"","check input"))</f>
        <v/>
      </c>
      <c r="S17" s="1900" t="str">
        <f>IF(AND(P15="",P17="",P19=""),"","Value used =")</f>
        <v>Value used =</v>
      </c>
      <c r="T17" s="2000">
        <f>IF(AND(P15="",P17="",P19=""),"",E114)</f>
        <v>8.0000000000000002E-3</v>
      </c>
      <c r="U17" s="2062"/>
      <c r="V17" s="911" t="str">
        <f>IF(P17="","","Vb =")</f>
        <v>Vb =</v>
      </c>
      <c r="W17" s="919">
        <f>IF(AA17="","",IF(AA17&gt;=0.1,AA17,IF(AA17&lt;0.001,AA17*1000000,IF(AA17&lt;0.1,AA17*1000,""))))</f>
        <v>8</v>
      </c>
      <c r="X17" s="913" t="str">
        <f>IF(AA17="","",IF(AA17&gt;=0.1,"m³ (Vb input)",IF(AA17&gt;0.001," dm³ (Vb input)",IF(AA17&lt;=0.001,"cm³ (Vb input)",""))))</f>
        <v xml:space="preserve"> dm³ (Vb input)</v>
      </c>
      <c r="Y17" s="857"/>
      <c r="Z17" s="906" t="str">
        <f>IF(AA17="","","Vb =")</f>
        <v>Vb =</v>
      </c>
      <c r="AA17" s="907">
        <f>IF(P17="","",IF(P17="a",'Parameter tables'!L40,IF(P17="b",'Parameter tables'!L41,IF(P17="c",'Parameter tables'!L42,IF(P17="d",'Parameter tables'!L43,IF(P17="e",'Parameter tables'!L44,IF(P17="f",'Parameter tables'!L45,IF(P17="g",'Parameter tables'!L46,IF(P17="h",'Parameter tables'!L47,IF(P17="i",'Parameter tables'!L48,""))))))))))</f>
        <v>8.0000000000000002E-3</v>
      </c>
      <c r="AB17" s="908" t="str">
        <f>IF(AA17="","","m³ (Vb input)")</f>
        <v>m³ (Vb input)</v>
      </c>
      <c r="AC17" s="644"/>
      <c r="AD17" s="367"/>
    </row>
    <row r="18" spans="1:30" ht="10.5" customHeight="1" x14ac:dyDescent="0.2">
      <c r="A18" s="1986"/>
      <c r="B18" s="1987"/>
      <c r="C18" s="1998"/>
      <c r="D18" s="1999"/>
      <c r="E18" s="1861"/>
      <c r="F18" s="1068" t="s">
        <v>16</v>
      </c>
      <c r="G18" s="1077" t="s">
        <v>18</v>
      </c>
      <c r="H18" s="1166" t="s">
        <v>21</v>
      </c>
      <c r="I18" s="1080" t="s">
        <v>23</v>
      </c>
      <c r="J18" s="1067" t="s">
        <v>25</v>
      </c>
      <c r="K18" s="1078" t="s">
        <v>27</v>
      </c>
      <c r="L18" s="1077" t="s">
        <v>29</v>
      </c>
      <c r="M18" s="1069" t="s">
        <v>54</v>
      </c>
      <c r="N18" s="1081" t="s">
        <v>56</v>
      </c>
      <c r="O18" s="1920"/>
      <c r="P18" s="1853"/>
      <c r="Q18" s="1854"/>
      <c r="R18" s="1899"/>
      <c r="S18" s="1901"/>
      <c r="T18" s="2001"/>
      <c r="U18" s="2062"/>
      <c r="V18" s="915" t="str">
        <f>IF(AA18="","","Vb =")</f>
        <v>Vb =</v>
      </c>
      <c r="W18" s="920">
        <f>IF(AA18="","",IF(AA18&lt;0.0001,AA18*1000000,IF(AA18&lt;0.1,AA18*1000,AA18)))</f>
        <v>2.0482476103777878</v>
      </c>
      <c r="X18" s="921" t="str">
        <f>IF(AND(P19&lt;&gt;"",AA18&gt;=0.1),"m³  (calculated from Jv)",IF(AND(P19&lt;&gt;"",AA18&gt;0.0001),"dm³ (calculated from Jv)",IF(AND(P19&lt;&gt;"",AA18&lt;=0.0001),"cm³  (calculated from Jv)",IF(AND(P15&lt;&gt;"",AA18&gt;=0.1),"m³ (calculated from RQD)",IF(AND(P15&lt;&gt;"",AA18&gt;0.0001),"dm³ (calculated from RQD)",IF(AND(P15&lt;&gt;"",AA18&lt;=0.0001),"cm³ (calculated from RQD)",""))))))</f>
        <v>dm³ (calculated from RQD)</v>
      </c>
      <c r="Y18" s="922"/>
      <c r="Z18" s="925" t="str">
        <f>IF(AA18="","","Vb =")</f>
        <v>Vb =</v>
      </c>
      <c r="AA18" s="928">
        <f>IF(AND(P15="",P19=""),"",IF(P19&lt;&gt;"",36*W19^-3,IF(P15&lt;&gt;"",36*(44-W15/2.5)^-3,"?")))</f>
        <v>2.0482476103777878E-3</v>
      </c>
      <c r="AB18" s="929" t="str">
        <f>IF(P19&lt;&gt;"","m³  (calculated from Jv)",IF(P15&lt;&gt;"","m³ (calculated from RQD)",""))</f>
        <v>m³ (calculated from RQD)</v>
      </c>
      <c r="AC18" s="930"/>
      <c r="AD18" s="367"/>
    </row>
    <row r="19" spans="1:30" ht="9.6" customHeight="1" x14ac:dyDescent="0.15">
      <c r="A19" s="1992" t="s">
        <v>774</v>
      </c>
      <c r="B19" s="1993"/>
      <c r="C19" s="1010"/>
      <c r="D19" s="1032"/>
      <c r="E19" s="1909" t="s">
        <v>697</v>
      </c>
      <c r="F19" s="604" t="s">
        <v>442</v>
      </c>
      <c r="G19" s="612" t="s">
        <v>574</v>
      </c>
      <c r="H19" s="604" t="s">
        <v>575</v>
      </c>
      <c r="I19" s="604" t="s">
        <v>576</v>
      </c>
      <c r="J19" s="604" t="s">
        <v>577</v>
      </c>
      <c r="K19" s="963" t="s">
        <v>578</v>
      </c>
      <c r="L19" s="612" t="s">
        <v>579</v>
      </c>
      <c r="M19" s="613" t="s">
        <v>445</v>
      </c>
      <c r="N19" s="607" t="s">
        <v>294</v>
      </c>
      <c r="O19" s="1919" t="s">
        <v>353</v>
      </c>
      <c r="P19" s="1863"/>
      <c r="Q19" s="1864"/>
      <c r="R19" s="1898" t="str">
        <f>IF(P19="","",IF(OR(P19="a",P19="b",P19="c",P19="d",P19="e",P19="f",P19="g",P19="h",P19="i"),"","check input"))</f>
        <v/>
      </c>
      <c r="S19" s="1900" t="str">
        <f>IF(P19="","","Value used =")</f>
        <v/>
      </c>
      <c r="T19" s="2002" t="str">
        <f>W19</f>
        <v/>
      </c>
      <c r="U19" s="2062"/>
      <c r="V19" s="911" t="str">
        <f>IF(W19="","","Jv =")</f>
        <v/>
      </c>
      <c r="W19" s="923" t="str">
        <f>IF(P19="","",IF(P19="a",'Parameter tables'!C51,IF(P19="b",'Parameter tables'!C52,IF(P19="c",'Parameter tables'!C53,IF(P19="d",'Parameter tables'!C54,IF(P19="e",'Parameter tables'!C55,IF(P19="f",'Parameter tables'!C56,IF(P19="g",'Parameter tables'!C57,IF(P19="h",'Parameter tables'!C58,IF(P19="i",'Parameter tables'!C59,"?"))))))))))</f>
        <v/>
      </c>
      <c r="X19" s="913" t="str">
        <f>IF(W19="","","( Jv input)")</f>
        <v/>
      </c>
      <c r="Y19" s="924"/>
      <c r="Z19" s="909"/>
      <c r="AA19" s="388"/>
      <c r="AB19" s="910"/>
      <c r="AC19" s="910"/>
      <c r="AD19" s="597"/>
    </row>
    <row r="20" spans="1:30" ht="10.5" customHeight="1" x14ac:dyDescent="0.2">
      <c r="A20" s="1992"/>
      <c r="B20" s="1993"/>
      <c r="C20" s="2004" t="s">
        <v>733</v>
      </c>
      <c r="D20" s="2005"/>
      <c r="E20" s="1910"/>
      <c r="F20" s="1067" t="s">
        <v>16</v>
      </c>
      <c r="G20" s="1076" t="s">
        <v>18</v>
      </c>
      <c r="H20" s="1067" t="s">
        <v>21</v>
      </c>
      <c r="I20" s="1067" t="s">
        <v>23</v>
      </c>
      <c r="J20" s="1067" t="s">
        <v>25</v>
      </c>
      <c r="K20" s="1078" t="s">
        <v>27</v>
      </c>
      <c r="L20" s="1076" t="s">
        <v>29</v>
      </c>
      <c r="M20" s="1079" t="s">
        <v>54</v>
      </c>
      <c r="N20" s="1081" t="s">
        <v>56</v>
      </c>
      <c r="O20" s="1920"/>
      <c r="P20" s="1853"/>
      <c r="Q20" s="1854"/>
      <c r="R20" s="1899"/>
      <c r="S20" s="1901"/>
      <c r="T20" s="2003"/>
      <c r="U20" s="2062"/>
      <c r="V20" s="366" t="s">
        <v>837</v>
      </c>
      <c r="W20" s="648"/>
      <c r="X20" s="649"/>
      <c r="Y20" s="598"/>
      <c r="Z20" s="597"/>
      <c r="AA20" s="597"/>
      <c r="AB20" s="597"/>
      <c r="AC20" s="597"/>
      <c r="AD20" s="597"/>
    </row>
    <row r="21" spans="1:30" ht="9.6" customHeight="1" x14ac:dyDescent="0.2">
      <c r="A21" s="1992"/>
      <c r="B21" s="1993"/>
      <c r="C21" s="1951" t="s">
        <v>796</v>
      </c>
      <c r="D21" s="1952"/>
      <c r="E21" s="1859" t="s">
        <v>695</v>
      </c>
      <c r="F21" s="614" t="s">
        <v>507</v>
      </c>
      <c r="G21" s="614" t="s">
        <v>506</v>
      </c>
      <c r="H21" s="610" t="s">
        <v>505</v>
      </c>
      <c r="I21" s="610" t="s">
        <v>504</v>
      </c>
      <c r="J21" s="610" t="s">
        <v>503</v>
      </c>
      <c r="K21" s="1966" t="s">
        <v>852</v>
      </c>
      <c r="L21" s="1967"/>
      <c r="M21" s="1967"/>
      <c r="N21" s="1968"/>
      <c r="O21" s="1919" t="s">
        <v>443</v>
      </c>
      <c r="P21" s="1863"/>
      <c r="Q21" s="1864"/>
      <c r="R21" s="1898" t="str">
        <f>IF(P21="","",IF(OR(P21="a",P21="b",P21="c",P21="d",P21="e"),"","check input"))</f>
        <v/>
      </c>
      <c r="S21" s="1900" t="str">
        <f>IF(AND(P15="",P17="",P19=""),"",IF(P21="","Value used =",""))</f>
        <v>Value used =</v>
      </c>
      <c r="T21" s="1972">
        <f>IF(S21="","",E115)</f>
        <v>0.26670958846490406</v>
      </c>
      <c r="U21" s="2062"/>
      <c r="V21" s="527"/>
      <c r="W21" s="368"/>
      <c r="X21" s="368"/>
      <c r="Y21" s="369"/>
      <c r="Z21" s="365"/>
      <c r="AA21" s="365"/>
      <c r="AB21" s="365"/>
      <c r="AC21" s="365"/>
    </row>
    <row r="22" spans="1:30" ht="10.5" customHeight="1" x14ac:dyDescent="0.2">
      <c r="A22" s="1994"/>
      <c r="B22" s="1995"/>
      <c r="C22" s="1998"/>
      <c r="D22" s="1999"/>
      <c r="E22" s="1861"/>
      <c r="F22" s="1076" t="s">
        <v>16</v>
      </c>
      <c r="G22" s="1076" t="s">
        <v>18</v>
      </c>
      <c r="H22" s="1067" t="s">
        <v>21</v>
      </c>
      <c r="I22" s="1067" t="s">
        <v>23</v>
      </c>
      <c r="J22" s="1067" t="s">
        <v>25</v>
      </c>
      <c r="K22" s="1969"/>
      <c r="L22" s="1970"/>
      <c r="M22" s="1970"/>
      <c r="N22" s="1971"/>
      <c r="O22" s="1920"/>
      <c r="P22" s="1853"/>
      <c r="Q22" s="1854"/>
      <c r="R22" s="1899"/>
      <c r="S22" s="1901"/>
      <c r="T22" s="1973"/>
      <c r="U22" s="2062"/>
      <c r="V22" s="931" t="s">
        <v>766</v>
      </c>
      <c r="W22" s="368"/>
      <c r="X22" s="368"/>
      <c r="Y22" s="369"/>
      <c r="Z22" s="365"/>
      <c r="AA22" s="365"/>
      <c r="AB22" s="365"/>
      <c r="AC22" s="365"/>
    </row>
    <row r="23" spans="1:30" ht="9.6" customHeight="1" x14ac:dyDescent="0.2">
      <c r="A23" s="1931" t="s">
        <v>700</v>
      </c>
      <c r="B23" s="1932"/>
      <c r="C23" s="1236"/>
      <c r="D23" s="1237"/>
      <c r="E23" s="1859" t="s">
        <v>738</v>
      </c>
      <c r="F23" s="967" t="s">
        <v>508</v>
      </c>
      <c r="G23" s="608" t="s">
        <v>48</v>
      </c>
      <c r="H23" s="610" t="s">
        <v>509</v>
      </c>
      <c r="I23" s="610" t="s">
        <v>562</v>
      </c>
      <c r="J23" s="608" t="s">
        <v>552</v>
      </c>
      <c r="K23" s="966" t="s">
        <v>510</v>
      </c>
      <c r="L23" s="608" t="s">
        <v>681</v>
      </c>
      <c r="M23" s="966" t="s">
        <v>511</v>
      </c>
      <c r="N23" s="615" t="s">
        <v>512</v>
      </c>
      <c r="O23" s="1937" t="s">
        <v>783</v>
      </c>
      <c r="P23" s="1863" t="s">
        <v>27</v>
      </c>
      <c r="Q23" s="1864"/>
      <c r="R23" s="1898" t="str">
        <f>IF(P23="","",IF(OR(P23="a",P23="b",P23="c",P23="d",P23="e",P23="f",P23="g",P23="h",P23="i"),"","check input"))</f>
        <v/>
      </c>
      <c r="S23" s="1900" t="str">
        <f>IF(AND(P15="",P17="",P19=""),"",IF(P23&lt;&gt;"","","Input used ="))</f>
        <v/>
      </c>
      <c r="T23" s="1904" t="str">
        <f>IF(S23="","",IF(E114&gt;'Parameter tables'!O77,'Parameter tables'!G77,IF(E114&gt;'Parameter tables'!O78,'Parameter tables'!G78,IF(E114&gt;'Parameter tables'!O79,'Parameter tables'!G79,IF(E114&gt;'Parameter tables'!O80,'Parameter tables'!G80,IF(E114&gt;'Parameter tables'!O81,'Parameter tables'!G81,IF(E114&gt;'Parameter tables'!O82,'Parameter tables'!G82,IF(E114&gt;'Parameter tables'!O83,'Parameter tables'!G83,'Parameter tables'!G84))))))))</f>
        <v/>
      </c>
      <c r="U23" s="370"/>
      <c r="V23" s="370"/>
      <c r="W23" s="1228"/>
      <c r="X23" s="1228"/>
      <c r="Y23" s="369"/>
      <c r="Z23" s="365"/>
      <c r="AA23" s="365"/>
      <c r="AB23" s="365"/>
      <c r="AC23" s="365"/>
    </row>
    <row r="24" spans="1:30" ht="10.5" customHeight="1" x14ac:dyDescent="0.2">
      <c r="A24" s="1933"/>
      <c r="B24" s="1934"/>
      <c r="C24" s="1240"/>
      <c r="D24" s="1241"/>
      <c r="E24" s="1861"/>
      <c r="F24" s="1075" t="s">
        <v>16</v>
      </c>
      <c r="G24" s="1067" t="s">
        <v>18</v>
      </c>
      <c r="H24" s="1067" t="s">
        <v>21</v>
      </c>
      <c r="I24" s="1067" t="s">
        <v>23</v>
      </c>
      <c r="J24" s="1067" t="s">
        <v>25</v>
      </c>
      <c r="K24" s="1078" t="s">
        <v>27</v>
      </c>
      <c r="L24" s="1166" t="s">
        <v>29</v>
      </c>
      <c r="M24" s="1078" t="s">
        <v>54</v>
      </c>
      <c r="N24" s="1081" t="s">
        <v>56</v>
      </c>
      <c r="O24" s="1920"/>
      <c r="P24" s="1853"/>
      <c r="Q24" s="1854"/>
      <c r="R24" s="1899"/>
      <c r="S24" s="1901"/>
      <c r="T24" s="1905"/>
      <c r="U24" s="370"/>
      <c r="V24" s="370"/>
      <c r="W24" s="1228"/>
      <c r="X24" s="1228"/>
      <c r="Y24" s="369"/>
      <c r="Z24" s="365"/>
      <c r="AA24" s="365"/>
      <c r="AB24" s="365"/>
      <c r="AC24" s="365"/>
    </row>
    <row r="25" spans="1:30" ht="10.5" customHeight="1" x14ac:dyDescent="0.15">
      <c r="A25" s="1933"/>
      <c r="B25" s="1934"/>
      <c r="C25" s="1010"/>
      <c r="D25" s="1032"/>
      <c r="E25" s="1859" t="s">
        <v>691</v>
      </c>
      <c r="F25" s="614" t="s">
        <v>752</v>
      </c>
      <c r="G25" s="614" t="s">
        <v>538</v>
      </c>
      <c r="H25" s="614" t="s">
        <v>212</v>
      </c>
      <c r="I25" s="610" t="s">
        <v>539</v>
      </c>
      <c r="J25" s="610" t="s">
        <v>553</v>
      </c>
      <c r="K25" s="1974" t="s">
        <v>857</v>
      </c>
      <c r="L25" s="1975"/>
      <c r="M25" s="1978" t="s">
        <v>867</v>
      </c>
      <c r="N25" s="1979"/>
      <c r="O25" s="1235" t="s">
        <v>741</v>
      </c>
      <c r="P25" s="1850" t="s">
        <v>18</v>
      </c>
      <c r="Q25" s="1851"/>
      <c r="R25" s="997" t="str">
        <f>IF(P25="","",IF(OR(P25="a",P25="b",P25="c",P25="d",P25="e"),"","check input"))</f>
        <v/>
      </c>
      <c r="S25" s="1238" t="str">
        <f>IF(AND(P15="",P17="",P19=""),"",IF(P25&lt;&gt;"","","Input used ="))</f>
        <v/>
      </c>
      <c r="T25" s="1096" t="str">
        <f>IF(S25="","",'Parameter tables'!G88)</f>
        <v/>
      </c>
      <c r="U25" s="637"/>
      <c r="V25" s="932" t="s">
        <v>767</v>
      </c>
      <c r="X25" s="1228"/>
      <c r="Y25" s="369"/>
      <c r="Z25" s="365"/>
      <c r="AA25" s="365"/>
      <c r="AB25" s="365"/>
      <c r="AC25" s="365"/>
    </row>
    <row r="26" spans="1:30" ht="10.5" customHeight="1" x14ac:dyDescent="0.2">
      <c r="A26" s="1935"/>
      <c r="B26" s="1936"/>
      <c r="C26" s="1011"/>
      <c r="D26" s="1033"/>
      <c r="E26" s="1861"/>
      <c r="F26" s="1077" t="s">
        <v>16</v>
      </c>
      <c r="G26" s="1262" t="s">
        <v>18</v>
      </c>
      <c r="H26" s="1082" t="s">
        <v>21</v>
      </c>
      <c r="I26" s="1068" t="s">
        <v>23</v>
      </c>
      <c r="J26" s="1068" t="s">
        <v>25</v>
      </c>
      <c r="K26" s="1976"/>
      <c r="L26" s="1977"/>
      <c r="M26" s="1980"/>
      <c r="N26" s="1981"/>
      <c r="O26" s="1235" t="s">
        <v>742</v>
      </c>
      <c r="P26" s="1853" t="s">
        <v>21</v>
      </c>
      <c r="Q26" s="1854"/>
      <c r="R26" s="998" t="str">
        <f>IF(P26="","",IF(OR(P26="a",P26="b",P26="c",P26="d",P26="e"),"","check input"))</f>
        <v/>
      </c>
      <c r="S26" s="1231" t="str">
        <f>IF(AND(P15="",P17="",P19=""),"",IF(P26&lt;&gt;"","","Input used ="))</f>
        <v/>
      </c>
      <c r="T26" s="1097" t="str">
        <f>IF(S26="","",'Parameter tables'!G88)</f>
        <v/>
      </c>
      <c r="U26" s="637"/>
      <c r="X26" s="1228"/>
      <c r="Y26" s="369"/>
      <c r="Z26" s="365"/>
      <c r="AA26" s="365"/>
      <c r="AB26" s="365"/>
      <c r="AC26" s="365"/>
    </row>
    <row r="27" spans="1:30" ht="9.6" customHeight="1" x14ac:dyDescent="0.2">
      <c r="A27" s="1945" t="s">
        <v>749</v>
      </c>
      <c r="B27" s="1948" t="s">
        <v>798</v>
      </c>
      <c r="C27" s="1951" t="s">
        <v>698</v>
      </c>
      <c r="D27" s="1952"/>
      <c r="E27" s="1859" t="s">
        <v>799</v>
      </c>
      <c r="F27" s="608" t="s">
        <v>513</v>
      </c>
      <c r="G27" s="608" t="s">
        <v>514</v>
      </c>
      <c r="H27" s="608" t="s">
        <v>515</v>
      </c>
      <c r="I27" s="608" t="s">
        <v>516</v>
      </c>
      <c r="J27" s="616" t="s">
        <v>517</v>
      </c>
      <c r="K27" s="971" t="s">
        <v>518</v>
      </c>
      <c r="L27" s="617" t="s">
        <v>519</v>
      </c>
      <c r="M27" s="1014"/>
      <c r="N27" s="1015"/>
      <c r="O27" s="1919" t="s">
        <v>62</v>
      </c>
      <c r="P27" s="1863" t="s">
        <v>23</v>
      </c>
      <c r="Q27" s="1864"/>
      <c r="R27" s="1898" t="str">
        <f>IF(P27="","",IF(OR(P27="a",P27="b",P27="c",P27="d",P27="e",P27="f",P27="g"),"","check input"))</f>
        <v/>
      </c>
      <c r="S27" s="1230" t="str">
        <f>IF(AND(P15="",P17="",P19=""),"",IF(P27&lt;&gt;"","","Input used ="))</f>
        <v/>
      </c>
      <c r="T27" s="1232" t="str">
        <f>IF(S27="","",'Parameter tables'!G97)</f>
        <v/>
      </c>
      <c r="U27" s="370"/>
      <c r="V27" s="370"/>
      <c r="W27" s="1228"/>
      <c r="X27" s="1228"/>
      <c r="Z27" s="365"/>
      <c r="AA27" s="365"/>
      <c r="AB27" s="365"/>
      <c r="AC27" s="365"/>
    </row>
    <row r="28" spans="1:30" ht="10.5" customHeight="1" x14ac:dyDescent="0.2">
      <c r="A28" s="1946"/>
      <c r="B28" s="1949"/>
      <c r="C28" s="1953"/>
      <c r="D28" s="1954"/>
      <c r="E28" s="1955"/>
      <c r="F28" s="1083" t="s">
        <v>16</v>
      </c>
      <c r="G28" s="1083" t="s">
        <v>18</v>
      </c>
      <c r="H28" s="1084" t="s">
        <v>21</v>
      </c>
      <c r="I28" s="1263" t="s">
        <v>23</v>
      </c>
      <c r="J28" s="1085" t="s">
        <v>25</v>
      </c>
      <c r="K28" s="1086" t="s">
        <v>27</v>
      </c>
      <c r="L28" s="1083" t="s">
        <v>29</v>
      </c>
      <c r="M28" s="1016"/>
      <c r="N28" s="1017"/>
      <c r="O28" s="1956"/>
      <c r="P28" s="1957"/>
      <c r="Q28" s="1958"/>
      <c r="R28" s="1922"/>
      <c r="S28" s="1938" t="s">
        <v>803</v>
      </c>
      <c r="T28" s="1939"/>
      <c r="U28" s="370"/>
      <c r="V28" s="370"/>
      <c r="W28" s="1228"/>
      <c r="X28" s="1228"/>
      <c r="Y28" s="369"/>
      <c r="Z28" s="365"/>
      <c r="AA28" s="365"/>
      <c r="AB28" s="365"/>
      <c r="AC28" s="365"/>
    </row>
    <row r="29" spans="1:30" ht="9.6" customHeight="1" x14ac:dyDescent="0.2">
      <c r="A29" s="1946"/>
      <c r="B29" s="1949"/>
      <c r="C29" s="1940" t="s">
        <v>693</v>
      </c>
      <c r="D29" s="1941"/>
      <c r="E29" s="1944" t="s">
        <v>694</v>
      </c>
      <c r="F29" s="610" t="s">
        <v>523</v>
      </c>
      <c r="G29" s="610" t="s">
        <v>522</v>
      </c>
      <c r="H29" s="610" t="s">
        <v>589</v>
      </c>
      <c r="I29" s="610" t="s">
        <v>521</v>
      </c>
      <c r="J29" s="610" t="s">
        <v>520</v>
      </c>
      <c r="K29" s="618" t="s">
        <v>519</v>
      </c>
      <c r="L29" s="1028"/>
      <c r="M29" s="1018"/>
      <c r="N29" s="1019"/>
      <c r="O29" s="1937" t="s">
        <v>69</v>
      </c>
      <c r="P29" s="1865" t="s">
        <v>25</v>
      </c>
      <c r="Q29" s="1866"/>
      <c r="R29" s="1922" t="str">
        <f>IF(P29="","",IF(OR(P29="a",P29="b",P29="c",P29="d",P29="e",P29="f"),"","check input"))</f>
        <v/>
      </c>
      <c r="S29" s="1938"/>
      <c r="T29" s="1939"/>
      <c r="U29" s="370"/>
      <c r="V29" s="370"/>
      <c r="W29" s="1228"/>
      <c r="X29" s="1228"/>
      <c r="Y29" s="369"/>
      <c r="Z29" s="365"/>
      <c r="AA29" s="365"/>
      <c r="AB29" s="365"/>
      <c r="AC29" s="365"/>
    </row>
    <row r="30" spans="1:30" ht="10.5" customHeight="1" x14ac:dyDescent="0.2">
      <c r="A30" s="1946"/>
      <c r="B30" s="1950"/>
      <c r="C30" s="1942"/>
      <c r="D30" s="1943"/>
      <c r="E30" s="1910"/>
      <c r="F30" s="1067" t="s">
        <v>16</v>
      </c>
      <c r="G30" s="1067" t="s">
        <v>18</v>
      </c>
      <c r="H30" s="1067" t="s">
        <v>21</v>
      </c>
      <c r="I30" s="1087" t="s">
        <v>23</v>
      </c>
      <c r="J30" s="1080" t="s">
        <v>25</v>
      </c>
      <c r="K30" s="1078" t="s">
        <v>27</v>
      </c>
      <c r="L30" s="1029"/>
      <c r="M30" s="1020"/>
      <c r="N30" s="1021"/>
      <c r="O30" s="1920"/>
      <c r="P30" s="1853"/>
      <c r="Q30" s="1854"/>
      <c r="R30" s="1899"/>
      <c r="S30" s="1231" t="str">
        <f>IF(AND(P15="",P17="",P19=""),"",IF(P29&lt;&gt;"","","Input used ="))</f>
        <v/>
      </c>
      <c r="T30" s="1233" t="str">
        <f>IF(S30="","",'Parameter tables'!G106)</f>
        <v/>
      </c>
      <c r="U30" s="370"/>
      <c r="V30" s="370"/>
      <c r="W30" s="1228"/>
      <c r="X30" s="1228"/>
      <c r="Y30" s="369"/>
      <c r="Z30" s="365"/>
      <c r="AA30" s="365"/>
      <c r="AB30" s="365"/>
      <c r="AC30" s="365"/>
    </row>
    <row r="31" spans="1:30" ht="9.6" customHeight="1" x14ac:dyDescent="0.2">
      <c r="A31" s="1946"/>
      <c r="B31" s="1948" t="s">
        <v>846</v>
      </c>
      <c r="C31" s="1959" t="s">
        <v>712</v>
      </c>
      <c r="D31" s="1960"/>
      <c r="E31" s="1961"/>
      <c r="F31" s="608" t="s">
        <v>524</v>
      </c>
      <c r="G31" s="608" t="s">
        <v>525</v>
      </c>
      <c r="H31" s="608" t="s">
        <v>548</v>
      </c>
      <c r="I31" s="619" t="s">
        <v>526</v>
      </c>
      <c r="J31" s="608" t="s">
        <v>549</v>
      </c>
      <c r="K31" s="966" t="s">
        <v>527</v>
      </c>
      <c r="L31" s="1030"/>
      <c r="M31" s="1022"/>
      <c r="N31" s="1023"/>
      <c r="O31" s="1919" t="s">
        <v>784</v>
      </c>
      <c r="P31" s="1863" t="s">
        <v>18</v>
      </c>
      <c r="Q31" s="1864"/>
      <c r="R31" s="1229"/>
      <c r="S31" s="1900" t="str">
        <f>IF(AND(P15="",P17="",P19=""),"",IF(P31&lt;&gt;"","","Input used ="))</f>
        <v/>
      </c>
      <c r="T31" s="1904" t="str">
        <f>IF(S31="","",'Parameter tables'!G112)</f>
        <v/>
      </c>
      <c r="U31" s="371"/>
      <c r="V31" s="371"/>
      <c r="W31" s="1228"/>
      <c r="X31" s="1228"/>
      <c r="Y31" s="369"/>
      <c r="Z31" s="365"/>
      <c r="AA31" s="365"/>
      <c r="AB31" s="365"/>
      <c r="AC31" s="365"/>
    </row>
    <row r="32" spans="1:30" ht="10.5" customHeight="1" x14ac:dyDescent="0.2">
      <c r="A32" s="1946"/>
      <c r="B32" s="1949"/>
      <c r="C32" s="1962"/>
      <c r="D32" s="1963"/>
      <c r="E32" s="1964"/>
      <c r="F32" s="1088" t="s">
        <v>16</v>
      </c>
      <c r="G32" s="1084" t="s">
        <v>18</v>
      </c>
      <c r="H32" s="1083" t="s">
        <v>21</v>
      </c>
      <c r="I32" s="1113" t="s">
        <v>23</v>
      </c>
      <c r="J32" s="1089" t="s">
        <v>25</v>
      </c>
      <c r="K32" s="1086" t="s">
        <v>27</v>
      </c>
      <c r="L32" s="1031"/>
      <c r="M32" s="1024"/>
      <c r="N32" s="1025"/>
      <c r="O32" s="1937"/>
      <c r="P32" s="1865"/>
      <c r="Q32" s="1866"/>
      <c r="R32" s="1922" t="str">
        <f>IF(P31="","",IF(OR(P31="a",P31="b",P31="c",P31="d",P31="e",P31="f",P31="h",P31="i",P31="j",P31="k",P31="l",P31="m",P31="n",P31="o"),"","check input"))</f>
        <v/>
      </c>
      <c r="S32" s="1965"/>
      <c r="T32" s="1921"/>
      <c r="U32" s="370"/>
      <c r="V32" s="370"/>
      <c r="W32" s="1228"/>
      <c r="X32" s="1228"/>
      <c r="Y32" s="369"/>
      <c r="Z32" s="365"/>
      <c r="AA32" s="365"/>
      <c r="AB32" s="365"/>
      <c r="AC32" s="365"/>
    </row>
    <row r="33" spans="1:29" ht="9.6" customHeight="1" x14ac:dyDescent="0.15">
      <c r="A33" s="1946"/>
      <c r="B33" s="1949"/>
      <c r="C33" s="1923" t="s">
        <v>757</v>
      </c>
      <c r="D33" s="1924"/>
      <c r="E33" s="372" t="s">
        <v>497</v>
      </c>
      <c r="F33" s="620" t="s">
        <v>594</v>
      </c>
      <c r="G33" s="621" t="s">
        <v>530</v>
      </c>
      <c r="H33" s="621" t="s">
        <v>529</v>
      </c>
      <c r="I33" s="621" t="s">
        <v>528</v>
      </c>
      <c r="J33" s="372" t="s">
        <v>497</v>
      </c>
      <c r="K33" s="968" t="s">
        <v>594</v>
      </c>
      <c r="L33" s="610" t="s">
        <v>530</v>
      </c>
      <c r="M33" s="622" t="s">
        <v>529</v>
      </c>
      <c r="N33" s="623" t="s">
        <v>528</v>
      </c>
      <c r="O33" s="1937"/>
      <c r="P33" s="1865"/>
      <c r="Q33" s="1866"/>
      <c r="R33" s="1922"/>
      <c r="S33" s="1965"/>
      <c r="T33" s="1921"/>
      <c r="U33" s="370"/>
      <c r="V33" s="370"/>
      <c r="W33" s="1228"/>
      <c r="X33" s="1228"/>
      <c r="Y33" s="369"/>
      <c r="Z33" s="365"/>
      <c r="AA33" s="365"/>
      <c r="AB33" s="365"/>
      <c r="AC33" s="365"/>
    </row>
    <row r="34" spans="1:29" ht="10.5" customHeight="1" x14ac:dyDescent="0.2">
      <c r="A34" s="1946"/>
      <c r="B34" s="1950"/>
      <c r="C34" s="1925"/>
      <c r="D34" s="1926"/>
      <c r="E34" s="543" t="s">
        <v>650</v>
      </c>
      <c r="F34" s="1076" t="s">
        <v>54</v>
      </c>
      <c r="G34" s="1067" t="s">
        <v>249</v>
      </c>
      <c r="H34" s="1068" t="s">
        <v>247</v>
      </c>
      <c r="I34" s="1067" t="s">
        <v>251</v>
      </c>
      <c r="J34" s="543" t="s">
        <v>649</v>
      </c>
      <c r="K34" s="1079" t="s">
        <v>56</v>
      </c>
      <c r="L34" s="1067" t="s">
        <v>250</v>
      </c>
      <c r="M34" s="1078" t="s">
        <v>148</v>
      </c>
      <c r="N34" s="1081" t="s">
        <v>248</v>
      </c>
      <c r="O34" s="1937"/>
      <c r="P34" s="1853"/>
      <c r="Q34" s="1854"/>
      <c r="R34" s="999"/>
      <c r="S34" s="1901"/>
      <c r="T34" s="1905"/>
      <c r="U34" s="371"/>
      <c r="V34" s="371"/>
      <c r="W34" s="1228"/>
      <c r="X34" s="1228"/>
      <c r="Y34" s="369"/>
      <c r="Z34" s="365"/>
      <c r="AA34" s="365"/>
      <c r="AB34" s="365"/>
      <c r="AC34" s="365"/>
    </row>
    <row r="35" spans="1:29" ht="9.6" customHeight="1" x14ac:dyDescent="0.2">
      <c r="A35" s="1946"/>
      <c r="B35" s="1927" t="s">
        <v>790</v>
      </c>
      <c r="C35" s="1928"/>
      <c r="D35" s="1928"/>
      <c r="E35" s="1859" t="s">
        <v>692</v>
      </c>
      <c r="F35" s="610" t="s">
        <v>532</v>
      </c>
      <c r="G35" s="610" t="s">
        <v>531</v>
      </c>
      <c r="H35" s="610" t="s">
        <v>598</v>
      </c>
      <c r="I35" s="610" t="s">
        <v>533</v>
      </c>
      <c r="J35" s="610" t="s">
        <v>550</v>
      </c>
      <c r="K35" s="966" t="s">
        <v>534</v>
      </c>
      <c r="L35" s="617" t="s">
        <v>535</v>
      </c>
      <c r="M35" s="365"/>
      <c r="N35" s="583" t="s">
        <v>707</v>
      </c>
      <c r="O35" s="1919" t="s">
        <v>84</v>
      </c>
      <c r="P35" s="1863" t="s">
        <v>23</v>
      </c>
      <c r="Q35" s="1864"/>
      <c r="R35" s="1898" t="str">
        <f>IF(P35="","",IF(OR(P35="a",P35="b",P35="c",P35="d",P35="e",P35="f",P35="g"),"","check input"))</f>
        <v/>
      </c>
      <c r="S35" s="1900" t="str">
        <f>IF(AND(P15="",P17="",P19=""),"",IF(P35&lt;&gt;"","","Input used ="))</f>
        <v/>
      </c>
      <c r="T35" s="1904" t="str">
        <f>IF(S35="","",'Parameter tables'!G130)</f>
        <v/>
      </c>
      <c r="U35" s="370"/>
      <c r="V35" s="370"/>
      <c r="W35" s="1228"/>
      <c r="X35" s="1228"/>
      <c r="Y35" s="369"/>
      <c r="Z35" s="365"/>
      <c r="AA35" s="365"/>
      <c r="AB35" s="365"/>
      <c r="AC35" s="365"/>
    </row>
    <row r="36" spans="1:29" ht="10.5" customHeight="1" x14ac:dyDescent="0.2">
      <c r="A36" s="1946"/>
      <c r="B36" s="1929"/>
      <c r="C36" s="1930"/>
      <c r="D36" s="1930"/>
      <c r="E36" s="1861"/>
      <c r="F36" s="1067" t="s">
        <v>16</v>
      </c>
      <c r="G36" s="1067" t="s">
        <v>18</v>
      </c>
      <c r="H36" s="1080" t="s">
        <v>21</v>
      </c>
      <c r="I36" s="1080" t="s">
        <v>23</v>
      </c>
      <c r="J36" s="1087" t="s">
        <v>25</v>
      </c>
      <c r="K36" s="1078" t="s">
        <v>27</v>
      </c>
      <c r="L36" s="1068" t="s">
        <v>29</v>
      </c>
      <c r="M36" s="581"/>
      <c r="N36" s="582" t="s">
        <v>708</v>
      </c>
      <c r="O36" s="1920"/>
      <c r="P36" s="1853"/>
      <c r="Q36" s="1854"/>
      <c r="R36" s="1899"/>
      <c r="S36" s="1901"/>
      <c r="T36" s="1905"/>
      <c r="U36" s="370"/>
      <c r="V36" s="370"/>
      <c r="W36" s="1228"/>
      <c r="X36" s="1228"/>
      <c r="Y36" s="369"/>
      <c r="Z36" s="365"/>
      <c r="AA36" s="365"/>
      <c r="AB36" s="365"/>
      <c r="AC36" s="365"/>
    </row>
    <row r="37" spans="1:29" ht="9.6" customHeight="1" x14ac:dyDescent="0.2">
      <c r="A37" s="1946"/>
      <c r="B37" s="1906" t="s">
        <v>750</v>
      </c>
      <c r="C37" s="1907"/>
      <c r="D37" s="1907"/>
      <c r="E37" s="1909" t="s">
        <v>720</v>
      </c>
      <c r="F37" s="608" t="s">
        <v>599</v>
      </c>
      <c r="G37" s="608" t="s">
        <v>537</v>
      </c>
      <c r="H37" s="608" t="s">
        <v>551</v>
      </c>
      <c r="I37" s="608" t="s">
        <v>436</v>
      </c>
      <c r="J37" s="608" t="s">
        <v>536</v>
      </c>
      <c r="K37" s="1911" t="s">
        <v>856</v>
      </c>
      <c r="L37" s="1912"/>
      <c r="M37" s="1915" t="s">
        <v>868</v>
      </c>
      <c r="N37" s="1916"/>
      <c r="O37" s="1919" t="s">
        <v>444</v>
      </c>
      <c r="P37" s="1863" t="s">
        <v>18</v>
      </c>
      <c r="Q37" s="1864"/>
      <c r="R37" s="1898" t="str">
        <f>IF(P37="","",IF(OR(P37="a",P37="b",P37="c",P37="d",P37="e"),"","check input"))</f>
        <v/>
      </c>
      <c r="S37" s="1900" t="str">
        <f>IF(AND(P15="",P17="",P19=""),"",IF(P37&lt;&gt;"","","Input used ="))</f>
        <v/>
      </c>
      <c r="T37" s="1904" t="str">
        <f>IF(S37="","",'Parameter tables'!G137)</f>
        <v/>
      </c>
      <c r="U37" s="370"/>
      <c r="V37" s="370"/>
      <c r="W37" s="1889"/>
      <c r="X37" s="1889"/>
      <c r="Y37" s="369"/>
      <c r="Z37" s="365"/>
      <c r="AA37" s="365"/>
      <c r="AB37" s="365"/>
      <c r="AC37" s="365"/>
    </row>
    <row r="38" spans="1:29" ht="10.5" customHeight="1" x14ac:dyDescent="0.2">
      <c r="A38" s="1947"/>
      <c r="B38" s="1908"/>
      <c r="C38" s="1871"/>
      <c r="D38" s="1871"/>
      <c r="E38" s="1910"/>
      <c r="F38" s="1067" t="s">
        <v>16</v>
      </c>
      <c r="G38" s="1067" t="s">
        <v>18</v>
      </c>
      <c r="H38" s="1112" t="s">
        <v>21</v>
      </c>
      <c r="I38" s="1080" t="s">
        <v>23</v>
      </c>
      <c r="J38" s="1067" t="s">
        <v>25</v>
      </c>
      <c r="K38" s="1913"/>
      <c r="L38" s="1914"/>
      <c r="M38" s="1917"/>
      <c r="N38" s="1918"/>
      <c r="O38" s="1920"/>
      <c r="P38" s="1853"/>
      <c r="Q38" s="1854"/>
      <c r="R38" s="1899"/>
      <c r="S38" s="1901"/>
      <c r="T38" s="1905"/>
      <c r="U38" s="660"/>
      <c r="V38" s="370"/>
      <c r="W38" s="1889"/>
      <c r="X38" s="1889"/>
      <c r="Y38" s="369"/>
      <c r="Z38" s="365"/>
      <c r="AA38" s="365"/>
      <c r="AB38" s="365"/>
      <c r="AC38" s="365"/>
    </row>
    <row r="39" spans="1:29" ht="9.6" customHeight="1" x14ac:dyDescent="0.2">
      <c r="A39" s="1890" t="s">
        <v>787</v>
      </c>
      <c r="B39" s="1891"/>
      <c r="C39" s="1891"/>
      <c r="D39" s="1891"/>
      <c r="E39" s="1894" t="s">
        <v>690</v>
      </c>
      <c r="F39" s="965" t="s">
        <v>789</v>
      </c>
      <c r="G39" s="601" t="s">
        <v>684</v>
      </c>
      <c r="H39" s="599" t="s">
        <v>542</v>
      </c>
      <c r="I39" s="599" t="s">
        <v>541</v>
      </c>
      <c r="J39" s="600" t="s">
        <v>540</v>
      </c>
      <c r="K39" s="969" t="s">
        <v>687</v>
      </c>
      <c r="L39" s="600" t="s">
        <v>686</v>
      </c>
      <c r="M39" s="1026"/>
      <c r="N39" s="1015"/>
      <c r="O39" s="1896" t="s">
        <v>107</v>
      </c>
      <c r="P39" s="1863" t="s">
        <v>21</v>
      </c>
      <c r="Q39" s="1864"/>
      <c r="R39" s="1898" t="str">
        <f>IF(P39="","",IF(OR(P39="a",P39="b",P39="c",P39="d",P39="e",P39="f",P39="g"),"","check input"))</f>
        <v/>
      </c>
      <c r="S39" s="1900" t="str">
        <f>IF(AND(P15="",P17="",P19=""),"",IF(P39&lt;&gt;"","","Input used ="))</f>
        <v/>
      </c>
      <c r="T39" s="1902" t="str">
        <f>IF(S39="","",'Parameter tables'!G152)</f>
        <v/>
      </c>
      <c r="U39" s="596"/>
      <c r="V39" s="540" t="str">
        <f>IF(OR(P39="e",P39="f",P39="g"),"Gushing and water inburst is outside the limit of Gc","")</f>
        <v/>
      </c>
      <c r="W39" s="1228"/>
      <c r="X39" s="1228"/>
      <c r="Y39" s="373"/>
      <c r="Z39" s="365"/>
      <c r="AA39" s="365"/>
      <c r="AB39" s="365"/>
      <c r="AC39" s="365"/>
    </row>
    <row r="40" spans="1:29" ht="10.5" customHeight="1" x14ac:dyDescent="0.2">
      <c r="A40" s="1892"/>
      <c r="B40" s="1893"/>
      <c r="C40" s="1893"/>
      <c r="D40" s="1893"/>
      <c r="E40" s="1895"/>
      <c r="F40" s="1111" t="s">
        <v>16</v>
      </c>
      <c r="G40" s="1091" t="s">
        <v>18</v>
      </c>
      <c r="H40" s="1068" t="s">
        <v>21</v>
      </c>
      <c r="I40" s="1068" t="s">
        <v>23</v>
      </c>
      <c r="J40" s="1068" t="s">
        <v>25</v>
      </c>
      <c r="K40" s="1078" t="s">
        <v>27</v>
      </c>
      <c r="L40" s="1073" t="s">
        <v>29</v>
      </c>
      <c r="M40" s="1026"/>
      <c r="N40" s="1027"/>
      <c r="O40" s="1897"/>
      <c r="P40" s="1853"/>
      <c r="Q40" s="1854"/>
      <c r="R40" s="1899"/>
      <c r="S40" s="1901"/>
      <c r="T40" s="1903"/>
      <c r="U40" s="596"/>
      <c r="V40" s="370"/>
      <c r="W40" s="1228"/>
      <c r="X40" s="374"/>
      <c r="Y40" s="369"/>
      <c r="Z40" s="365"/>
      <c r="AA40" s="365"/>
      <c r="AB40" s="365"/>
      <c r="AC40" s="365"/>
    </row>
    <row r="41" spans="1:29" ht="10.5" customHeight="1" x14ac:dyDescent="0.2">
      <c r="A41" s="1855" t="s">
        <v>763</v>
      </c>
      <c r="B41" s="1856"/>
      <c r="C41" s="1856"/>
      <c r="D41" s="1856"/>
      <c r="E41" s="1859" t="s">
        <v>689</v>
      </c>
      <c r="F41" s="965" t="s">
        <v>800</v>
      </c>
      <c r="G41" s="599" t="s">
        <v>580</v>
      </c>
      <c r="H41" s="599" t="s">
        <v>581</v>
      </c>
      <c r="I41" s="961" t="s">
        <v>582</v>
      </c>
      <c r="J41" s="599" t="s">
        <v>543</v>
      </c>
      <c r="K41" s="973" t="s">
        <v>563</v>
      </c>
      <c r="L41" s="600" t="s">
        <v>544</v>
      </c>
      <c r="M41" s="961" t="s">
        <v>730</v>
      </c>
      <c r="N41" s="611" t="s">
        <v>729</v>
      </c>
      <c r="O41" s="1862" t="s">
        <v>111</v>
      </c>
      <c r="P41" s="1863" t="s">
        <v>21</v>
      </c>
      <c r="Q41" s="1864"/>
      <c r="R41" s="1172" t="str">
        <f>IF(AND(P41="",P47=""),"",IF(P47&gt;0,"",IF(OR(P41="j",P41="k",P41="l",P41="m",P41="n",P41="o",P41="p",P41="q"),"Tz = ?","")))</f>
        <v/>
      </c>
      <c r="S41" s="1238" t="str">
        <f>IF(AND(P15="",P17="",P19=""),"",IF(P41&lt;&gt;"","","Input used ="))</f>
        <v/>
      </c>
      <c r="T41" s="1239" t="str">
        <f>IF(S41="","",'Parameter tables'!G164)</f>
        <v/>
      </c>
      <c r="U41" s="596"/>
      <c r="V41" s="370"/>
      <c r="W41" s="1228"/>
      <c r="X41" s="374"/>
      <c r="Y41" s="369"/>
      <c r="Z41" s="365"/>
      <c r="AA41" s="365"/>
      <c r="AB41" s="365"/>
      <c r="AC41" s="365"/>
    </row>
    <row r="42" spans="1:29" ht="10.5" customHeight="1" x14ac:dyDescent="0.2">
      <c r="A42" s="1857"/>
      <c r="B42" s="1858"/>
      <c r="C42" s="1858"/>
      <c r="D42" s="1858"/>
      <c r="E42" s="1860"/>
      <c r="F42" s="1111" t="s">
        <v>16</v>
      </c>
      <c r="G42" s="1068" t="s">
        <v>18</v>
      </c>
      <c r="H42" s="1091" t="s">
        <v>21</v>
      </c>
      <c r="I42" s="1078" t="s">
        <v>23</v>
      </c>
      <c r="J42" s="1068" t="s">
        <v>25</v>
      </c>
      <c r="K42" s="1078" t="s">
        <v>27</v>
      </c>
      <c r="L42" s="1068" t="s">
        <v>29</v>
      </c>
      <c r="M42" s="1068" t="s">
        <v>54</v>
      </c>
      <c r="N42" s="1092" t="s">
        <v>56</v>
      </c>
      <c r="O42" s="1862"/>
      <c r="P42" s="1865"/>
      <c r="Q42" s="1866"/>
      <c r="R42" s="1000" t="str">
        <f>IF(P41="e","probably stress loosening",IF(P41="f","moderate bursting",IF(P41="g","intense bursting",IF(P41="h","weak squeezing",IF(P41="i","moderate squeezing","")))))</f>
        <v/>
      </c>
      <c r="S42" s="1098"/>
      <c r="T42" s="1099"/>
      <c r="U42" s="596"/>
      <c r="V42" s="370"/>
      <c r="W42" s="1228"/>
      <c r="X42" s="374"/>
      <c r="Y42" s="369"/>
      <c r="Z42" s="365"/>
      <c r="AA42" s="365"/>
      <c r="AB42" s="365"/>
      <c r="AC42" s="365"/>
    </row>
    <row r="43" spans="1:29" ht="9.6" customHeight="1" x14ac:dyDescent="0.15">
      <c r="A43" s="1867" t="s">
        <v>737</v>
      </c>
      <c r="B43" s="1870" t="s">
        <v>699</v>
      </c>
      <c r="C43" s="1870"/>
      <c r="D43" s="1870"/>
      <c r="E43" s="1860"/>
      <c r="F43" s="608" t="s">
        <v>600</v>
      </c>
      <c r="G43" s="608" t="s">
        <v>547</v>
      </c>
      <c r="H43" s="608" t="s">
        <v>546</v>
      </c>
      <c r="I43" s="608" t="s">
        <v>555</v>
      </c>
      <c r="J43" s="972" t="s">
        <v>554</v>
      </c>
      <c r="K43" s="971" t="s">
        <v>545</v>
      </c>
      <c r="L43" s="616" t="s">
        <v>735</v>
      </c>
      <c r="M43" s="616" t="s">
        <v>601</v>
      </c>
      <c r="N43" s="1013"/>
      <c r="O43" s="1862"/>
      <c r="P43" s="1865"/>
      <c r="Q43" s="1866"/>
      <c r="R43" s="1837" t="str">
        <f>IF(P41="","",IF(OR(P41="a",P41="b",P41="c",P41="d",P41="e",P41="f",P41="g",P41="h",P41="i",P41="j",P41="k",P41="l",P41="m",P41="n",P41="o",P41="p",P41="q"),"","check input"))</f>
        <v/>
      </c>
      <c r="S43" s="1100" t="str">
        <f>IF(AND(P41="e",E72 &lt; 80),"Probably no rock bursting in this blocky /fine-fragmented rock",IF(AND(P41="f",E72 &lt; 80),"Probably no rock bursting in this blocky /fine-fragmented rock",IF(AND(P41="g",E72 &lt;80),"Probably no rock bursting in this blocky /fine-fragmented rock","")))</f>
        <v/>
      </c>
      <c r="T43" s="1101"/>
      <c r="U43" s="670" t="str">
        <f>IF(AND(P41="j",E48=""),"Fill in Description of weakness zone",IF(AND(P41="k",E48=""),"Fill in Description of weakness zone",IF(AND(P41="l",E48=""),"Fill in Description of weakness zone",IF(AND(P41="m",E48=""),"Fill in Description of weakness zone",IF(AND(P41="n",E48="",D54=""),"Fill in Description of weakness zone",IF(AND(P41="o",E48="",D54=""),"Fill in Description of weakness zone",IF(AND(P41="p",E48="",D54=""),"Fill in Description of weakness zone","")))))))</f>
        <v/>
      </c>
      <c r="V43" s="370"/>
      <c r="X43" s="373"/>
      <c r="Y43" s="373"/>
      <c r="Z43" s="373"/>
      <c r="AA43" s="373"/>
      <c r="AB43" s="373"/>
      <c r="AC43" s="365"/>
    </row>
    <row r="44" spans="1:29" ht="10.5" customHeight="1" x14ac:dyDescent="0.2">
      <c r="A44" s="1868"/>
      <c r="B44" s="1871"/>
      <c r="C44" s="1871"/>
      <c r="D44" s="1871"/>
      <c r="E44" s="1861"/>
      <c r="F44" s="1068" t="s">
        <v>249</v>
      </c>
      <c r="G44" s="1068" t="s">
        <v>250</v>
      </c>
      <c r="H44" s="1068" t="s">
        <v>247</v>
      </c>
      <c r="I44" s="1068" t="s">
        <v>148</v>
      </c>
      <c r="J44" s="1090" t="s">
        <v>251</v>
      </c>
      <c r="K44" s="1078" t="s">
        <v>248</v>
      </c>
      <c r="L44" s="1068" t="s">
        <v>252</v>
      </c>
      <c r="M44" s="1068" t="s">
        <v>253</v>
      </c>
      <c r="N44" s="1093"/>
      <c r="O44" s="1862"/>
      <c r="P44" s="1853"/>
      <c r="Q44" s="1854"/>
      <c r="R44" s="1838"/>
      <c r="S44" s="1102" t="str">
        <f>IF(AND(P41="e",E72&lt;80),"Massive or low degree of jointing is required for rock bursting to take place",IF(AND(P41="f",E72&lt;80),"Massive or low degree of jointing is required for rock bursting to take place",IF(AND(P41="g",E72&lt;80),"Massive or low degree of jointing is required for rock bursting to take place","")))</f>
        <v/>
      </c>
      <c r="T44" s="1103"/>
      <c r="U44" s="365"/>
      <c r="V44" s="1181" t="str">
        <f>IF(P41="","",IF(OR(P41="j",P41="k",P41="l",P41="m",P41="n",P41="o",P41="p",P41="q")," Be aware of limitations of Q for weak zones",""))</f>
        <v/>
      </c>
      <c r="W44" s="1228"/>
      <c r="X44" s="1228"/>
      <c r="Y44" s="369"/>
      <c r="Z44" s="365"/>
      <c r="AA44" s="365"/>
      <c r="AB44" s="365"/>
      <c r="AC44" s="365"/>
    </row>
    <row r="45" spans="1:29" ht="9.75" customHeight="1" x14ac:dyDescent="0.2">
      <c r="A45" s="1868"/>
      <c r="B45" s="1839" t="s">
        <v>786</v>
      </c>
      <c r="C45" s="1839"/>
      <c r="D45" s="1839"/>
      <c r="E45" s="1840" t="s">
        <v>734</v>
      </c>
      <c r="F45" s="614" t="s">
        <v>752</v>
      </c>
      <c r="G45" s="614" t="s">
        <v>538</v>
      </c>
      <c r="H45" s="614" t="s">
        <v>212</v>
      </c>
      <c r="I45" s="610" t="s">
        <v>539</v>
      </c>
      <c r="J45" s="608" t="s">
        <v>553</v>
      </c>
      <c r="K45" s="1842" t="s">
        <v>855</v>
      </c>
      <c r="L45" s="1843"/>
      <c r="M45" s="1846"/>
      <c r="N45" s="1847"/>
      <c r="O45" s="970" t="s">
        <v>739</v>
      </c>
      <c r="P45" s="1850"/>
      <c r="Q45" s="1851"/>
      <c r="R45" s="997" t="str">
        <f>IF(P45="","",IF(OR(P45="a",P45="b",P45="c",P45="d",P45="e"),"","check input"))</f>
        <v/>
      </c>
      <c r="S45" s="1230" t="str">
        <f>IF(AND(P15="",P17="",P19=""),"",IF(P47="","",IF(P45&lt;&gt;"","","Input used =")))</f>
        <v/>
      </c>
      <c r="T45" s="1096" t="str">
        <f>IF(S45="","",'Parameter tables'!G188)</f>
        <v/>
      </c>
      <c r="U45" s="668">
        <f>IF(OR(P41="j",P41="k",P41="l",P41="m",P41="n",P41="o",P41="p",P41="q"),1,2)</f>
        <v>2</v>
      </c>
      <c r="V45" s="932" t="s">
        <v>768</v>
      </c>
      <c r="X45" s="1228"/>
      <c r="Y45" s="369"/>
      <c r="Z45" s="365"/>
      <c r="AA45" s="365"/>
      <c r="AB45" s="365"/>
      <c r="AC45" s="365"/>
    </row>
    <row r="46" spans="1:29" ht="10.5" customHeight="1" x14ac:dyDescent="0.2">
      <c r="A46" s="1868"/>
      <c r="B46" s="1852" t="s">
        <v>732</v>
      </c>
      <c r="C46" s="1852"/>
      <c r="D46" s="1852"/>
      <c r="E46" s="1841"/>
      <c r="F46" s="1068" t="s">
        <v>16</v>
      </c>
      <c r="G46" s="1091" t="s">
        <v>18</v>
      </c>
      <c r="H46" s="1068" t="s">
        <v>21</v>
      </c>
      <c r="I46" s="1068" t="s">
        <v>23</v>
      </c>
      <c r="J46" s="1094" t="s">
        <v>25</v>
      </c>
      <c r="K46" s="1844"/>
      <c r="L46" s="1845"/>
      <c r="M46" s="1848"/>
      <c r="N46" s="1849"/>
      <c r="O46" s="1226" t="s">
        <v>740</v>
      </c>
      <c r="P46" s="1853"/>
      <c r="Q46" s="1854"/>
      <c r="R46" s="998" t="str">
        <f>IF(P46="","",IF(OR(P46="a",P46="b",P46="c",P46="d",P46="e"),"","check input"))</f>
        <v/>
      </c>
      <c r="S46" s="1231" t="str">
        <f>IF(AND(P15="",P17="",P19=""),"",IF(P47="","",IF(P46&lt;&gt;"","","Input used =")))</f>
        <v/>
      </c>
      <c r="T46" s="1104" t="str">
        <f>IF(S46="","",'Parameter tables'!G188)</f>
        <v/>
      </c>
      <c r="U46" s="365"/>
      <c r="W46" s="365"/>
      <c r="X46" s="373"/>
      <c r="Y46" s="373"/>
      <c r="Z46" s="373"/>
      <c r="AA46" s="373"/>
      <c r="AB46" s="373"/>
      <c r="AC46" s="365"/>
    </row>
    <row r="47" spans="1:29" ht="18.75" customHeight="1" x14ac:dyDescent="0.2">
      <c r="A47" s="1868"/>
      <c r="B47" s="1872" t="s">
        <v>788</v>
      </c>
      <c r="C47" s="1872"/>
      <c r="D47" s="1872"/>
      <c r="E47" s="1227" t="s">
        <v>696</v>
      </c>
      <c r="F47" s="1873" t="s">
        <v>706</v>
      </c>
      <c r="G47" s="1874"/>
      <c r="H47" s="1063"/>
      <c r="I47" s="1063"/>
      <c r="J47" s="1064"/>
      <c r="K47" s="1875" t="s">
        <v>777</v>
      </c>
      <c r="L47" s="1876"/>
      <c r="M47" s="1876"/>
      <c r="N47" s="1877"/>
      <c r="O47" s="1234" t="s">
        <v>160</v>
      </c>
      <c r="P47" s="1878"/>
      <c r="Q47" s="1879"/>
      <c r="R47" s="1180" t="str">
        <f>IF(OR(P47="a",P47="b",43="c",P47="d",P47="e",P47="f",P47="g",P47="h",P47="i",P47="j",P47="k",P47="l",P47="m",P47="n",P47="o",P47="p",P47="q"),"check input",IF(AND(U45=2,P47&gt;0),"see--&gt;",IF(P47&lt;&gt;"","",IF(AND(U45=2,P47&gt;0),"see--&gt;",IF(OR(P41="j",P41="k",P41="l",P41="m",P41="n",P41="o",P41="p",P41="q"),"Tz = ?","")))))</f>
        <v/>
      </c>
      <c r="S47" s="1105" t="str">
        <f>IF(P47&gt;0,"",IF(R41="Tz = ?","Value used =",""))</f>
        <v/>
      </c>
      <c r="T47" s="1106" t="str">
        <f>IF(S47="","",L103)</f>
        <v/>
      </c>
      <c r="U47" s="667" t="str">
        <f>IF(R47="check input","",IF(AND(U45=2,P47&gt;0)," Remove value for Tz, or fill in SRF for weakness zone",IF(R47="Tz = ?"," &lt;-- Fill in value for Tz (or use the automatic value of 5m)",IF(AND(P47="",R41=" Fill in value for Tz")," &lt;-- Fill in value for Tz (or use the automatic value of 5m)",""))))</f>
        <v/>
      </c>
      <c r="V47" s="548"/>
      <c r="X47" s="1228"/>
      <c r="Y47" s="369"/>
      <c r="Z47" s="365"/>
      <c r="AA47" s="365"/>
      <c r="AB47" s="365"/>
      <c r="AC47" s="365"/>
    </row>
    <row r="48" spans="1:29" ht="13.5" customHeight="1" x14ac:dyDescent="0.2">
      <c r="A48" s="1869"/>
      <c r="B48" s="1880" t="s">
        <v>853</v>
      </c>
      <c r="C48" s="1880"/>
      <c r="D48" s="1881"/>
      <c r="E48" s="1882"/>
      <c r="F48" s="1883"/>
      <c r="G48" s="1883"/>
      <c r="H48" s="1883"/>
      <c r="I48" s="1883"/>
      <c r="J48" s="1883"/>
      <c r="K48" s="1884"/>
      <c r="L48" s="1885" t="s">
        <v>947</v>
      </c>
      <c r="M48" s="1886"/>
      <c r="N48" s="1886"/>
      <c r="O48" s="1886"/>
      <c r="P48" s="1886"/>
      <c r="Q48" s="1886"/>
      <c r="R48" s="1830"/>
      <c r="S48" s="1830"/>
      <c r="T48" s="1831"/>
      <c r="U48" s="630"/>
      <c r="V48" s="1834" t="s">
        <v>847</v>
      </c>
      <c r="W48" s="1834"/>
      <c r="X48" s="1834"/>
      <c r="Y48" s="1834"/>
      <c r="Z48" s="1834"/>
      <c r="AA48" s="1834"/>
      <c r="AB48" s="365"/>
      <c r="AC48" s="365"/>
    </row>
    <row r="49" spans="1:29" ht="6.75" customHeight="1" x14ac:dyDescent="0.2">
      <c r="A49" s="641"/>
      <c r="B49" s="642"/>
      <c r="C49" s="1034"/>
      <c r="D49" s="363"/>
      <c r="L49" s="1887"/>
      <c r="M49" s="1888"/>
      <c r="N49" s="1888"/>
      <c r="O49" s="1888"/>
      <c r="P49" s="1888"/>
      <c r="Q49" s="1888"/>
      <c r="R49" s="1832"/>
      <c r="S49" s="1832"/>
      <c r="T49" s="1833"/>
      <c r="U49" s="630"/>
      <c r="V49" s="1834"/>
      <c r="W49" s="1834"/>
      <c r="X49" s="1834"/>
      <c r="Y49" s="1834"/>
      <c r="Z49" s="1834"/>
      <c r="AA49" s="1834"/>
      <c r="AB49" s="365"/>
      <c r="AC49" s="365"/>
    </row>
    <row r="50" spans="1:29" ht="15.75" customHeight="1" x14ac:dyDescent="0.2">
      <c r="A50" s="641"/>
      <c r="B50" s="642"/>
      <c r="C50" s="401"/>
      <c r="D50" s="401"/>
      <c r="E50" s="592"/>
      <c r="F50" s="592"/>
      <c r="G50" s="592"/>
      <c r="H50" s="592"/>
      <c r="I50" s="594"/>
      <c r="J50" s="595"/>
      <c r="K50" s="593"/>
      <c r="L50" s="1044" t="s">
        <v>840</v>
      </c>
      <c r="M50" s="1045">
        <f>E91</f>
        <v>3.3000000000000003</v>
      </c>
      <c r="N50" s="1046" t="str">
        <f>F91</f>
        <v>poor</v>
      </c>
      <c r="O50" s="633" t="s">
        <v>387</v>
      </c>
      <c r="P50" s="634">
        <f>E93</f>
        <v>8.25</v>
      </c>
      <c r="Q50" s="635"/>
      <c r="R50" s="1835" t="str">
        <f>IF(AND(R47="",R46="",R45="",R43="",R39="",R37="",R35="",R32="",R29="",R27="",R26="",R25="",R23="",R21="",R19="",R17="",R15="",R13="",R11=""),"","Check input")</f>
        <v/>
      </c>
      <c r="S50" s="1178"/>
      <c r="T50" s="1179" t="str">
        <f>IF(U50="","","Q limitations:")</f>
        <v/>
      </c>
      <c r="U50" s="669" t="str">
        <f>C96</f>
        <v/>
      </c>
      <c r="W50" s="631"/>
    </row>
    <row r="51" spans="1:29" ht="15.6" customHeight="1" x14ac:dyDescent="0.2">
      <c r="A51" s="641"/>
      <c r="B51" s="642"/>
      <c r="C51" s="401"/>
      <c r="D51" s="401"/>
      <c r="E51" s="592"/>
      <c r="F51" s="592"/>
      <c r="G51" s="592"/>
      <c r="H51" s="592"/>
      <c r="I51" s="592"/>
      <c r="J51" s="580"/>
      <c r="K51" s="593"/>
      <c r="L51" s="1050" t="s">
        <v>841</v>
      </c>
      <c r="M51" s="1051">
        <f>L87</f>
        <v>52</v>
      </c>
      <c r="N51" s="1052" t="str">
        <f>M87</f>
        <v>fair</v>
      </c>
      <c r="O51" s="1053" t="s">
        <v>134</v>
      </c>
      <c r="P51" s="1043">
        <f>IF(M50="?","?",M50*E103/100)</f>
        <v>2.8875000000000002</v>
      </c>
      <c r="Q51" s="1054"/>
      <c r="R51" s="1836"/>
      <c r="S51" s="1177"/>
      <c r="T51" s="1176" t="str">
        <f>IF(U51="","","RMR limitations:")</f>
        <v/>
      </c>
      <c r="U51" s="669" t="str">
        <f>K88</f>
        <v/>
      </c>
      <c r="W51" s="631"/>
    </row>
    <row r="52" spans="1:29" ht="15" customHeight="1" x14ac:dyDescent="0.15">
      <c r="A52" s="641"/>
      <c r="B52" s="642"/>
      <c r="C52" s="401"/>
      <c r="D52" s="401"/>
      <c r="E52" s="592"/>
      <c r="F52" s="592"/>
      <c r="G52" s="592"/>
      <c r="H52" s="592"/>
      <c r="I52" s="592"/>
      <c r="J52" s="545"/>
      <c r="K52" s="593"/>
      <c r="L52" s="1047" t="s">
        <v>842</v>
      </c>
      <c r="M52" s="645">
        <f>IF(OR(R42="",S43&lt;&gt;""),E134,"-")</f>
        <v>4.1272433127594166</v>
      </c>
      <c r="N52" s="646" t="str">
        <f>IF(M52="-","",F134)</f>
        <v>fair</v>
      </c>
      <c r="O52" s="647" t="s">
        <v>145</v>
      </c>
      <c r="P52" s="1048">
        <f>IF(M52="-","-",E135)</f>
        <v>20.636216563797085</v>
      </c>
      <c r="Q52" s="1049"/>
      <c r="R52" s="1130"/>
      <c r="S52" s="1173"/>
      <c r="T52" s="1174" t="str">
        <f>IF(AND(M52="-",E89&gt;20),"Overstressing:",IF(U52="","","RMi limitations →"))</f>
        <v/>
      </c>
      <c r="U52" s="670" t="str">
        <f>IF(AND(M52="-",E89&gt;20)," Outside the limit of Gc (use RMi support diagram for OVERSTRESSED GROUND)",K113)</f>
        <v/>
      </c>
      <c r="W52" s="631"/>
    </row>
    <row r="53" spans="1:29" ht="17.25" customHeight="1" x14ac:dyDescent="0.2">
      <c r="A53" s="641"/>
      <c r="B53" s="642"/>
      <c r="C53" s="365"/>
      <c r="D53" s="365"/>
      <c r="E53" s="365"/>
      <c r="F53" s="365"/>
      <c r="G53" s="365"/>
      <c r="H53" s="365"/>
      <c r="I53" s="365"/>
      <c r="J53" s="545"/>
      <c r="K53" s="1041"/>
      <c r="L53" s="1167" t="s">
        <v>843</v>
      </c>
      <c r="M53" s="1168">
        <f>E119</f>
        <v>4.1272433127594166</v>
      </c>
      <c r="N53" s="1109" t="str">
        <f>F119</f>
        <v>moderate</v>
      </c>
      <c r="O53" s="1448" t="s">
        <v>946</v>
      </c>
      <c r="P53" s="650"/>
      <c r="Q53" s="1006"/>
      <c r="R53" s="650"/>
      <c r="S53" s="650"/>
      <c r="T53" s="1188"/>
      <c r="U53" s="636"/>
      <c r="W53" s="631"/>
      <c r="X53" s="375"/>
      <c r="Z53" s="1175"/>
    </row>
    <row r="54" spans="1:29" ht="10.5" customHeight="1" x14ac:dyDescent="0.15">
      <c r="A54" s="643"/>
      <c r="B54" s="1065" t="s">
        <v>854</v>
      </c>
      <c r="C54" s="1449" t="s">
        <v>56</v>
      </c>
      <c r="D54" s="1450" t="s">
        <v>804</v>
      </c>
      <c r="E54" s="1450" t="s">
        <v>805</v>
      </c>
      <c r="F54" s="1450" t="s">
        <v>806</v>
      </c>
      <c r="G54" s="1450" t="s">
        <v>807</v>
      </c>
      <c r="H54" s="1451" t="s">
        <v>808</v>
      </c>
      <c r="I54" s="1452" t="s">
        <v>809</v>
      </c>
      <c r="J54" s="1453" t="s">
        <v>810</v>
      </c>
      <c r="K54" s="1813" t="s">
        <v>861</v>
      </c>
      <c r="L54" s="1814"/>
      <c r="M54" s="1814"/>
      <c r="N54" s="1814"/>
      <c r="O54" s="1814"/>
      <c r="P54" s="1814"/>
      <c r="Q54" s="1814"/>
      <c r="R54" s="1814"/>
      <c r="S54" s="1121"/>
      <c r="T54" s="1122" t="s">
        <v>844</v>
      </c>
      <c r="U54" s="636"/>
      <c r="V54" s="670"/>
      <c r="W54" s="631"/>
      <c r="X54" s="375"/>
    </row>
    <row r="55" spans="1:29" ht="26.25" customHeight="1" x14ac:dyDescent="0.2">
      <c r="A55" s="1042"/>
      <c r="B55" s="1001"/>
      <c r="C55" s="1002"/>
      <c r="D55" s="1002"/>
      <c r="E55" s="1002"/>
      <c r="F55" s="1002"/>
      <c r="G55" s="1002"/>
      <c r="H55" s="1002"/>
      <c r="I55" s="1003"/>
      <c r="J55" s="1003"/>
      <c r="K55" s="1003"/>
      <c r="L55" s="1003"/>
      <c r="M55" s="1004"/>
      <c r="N55" s="1005"/>
      <c r="O55" s="1005"/>
      <c r="P55" s="363"/>
      <c r="Q55" s="547"/>
      <c r="R55" s="547"/>
      <c r="S55" s="1003"/>
      <c r="U55" s="632"/>
      <c r="W55" s="365"/>
    </row>
    <row r="56" spans="1:29" ht="13.9" customHeight="1" x14ac:dyDescent="0.15">
      <c r="B56" s="1815" t="str">
        <f>'Parameter tables'!R194</f>
        <v>What is favourable or unfavourable orientation?</v>
      </c>
      <c r="C56" s="1816"/>
      <c r="D56" s="1816"/>
      <c r="E56" s="1816"/>
      <c r="F56" s="1816"/>
      <c r="G56" s="1816"/>
      <c r="H56" s="1816"/>
      <c r="I56" s="1817" t="s">
        <v>721</v>
      </c>
      <c r="J56" s="1818"/>
      <c r="K56" s="1818"/>
      <c r="L56" s="1818"/>
      <c r="M56" s="1818"/>
      <c r="N56" s="1819"/>
      <c r="O56" s="1818" t="s">
        <v>769</v>
      </c>
      <c r="P56" s="1818"/>
      <c r="Q56" s="1818"/>
      <c r="R56" s="1818"/>
      <c r="S56" s="1818"/>
      <c r="T56" s="1820"/>
      <c r="U56" s="624"/>
      <c r="V56" s="549"/>
      <c r="W56" s="651"/>
      <c r="X56" s="652"/>
      <c r="Y56" s="652"/>
    </row>
    <row r="57" spans="1:29" ht="15" customHeight="1" x14ac:dyDescent="0.15">
      <c r="A57" s="365"/>
      <c r="B57" s="949"/>
      <c r="C57" s="950"/>
      <c r="D57" s="950"/>
      <c r="E57" s="950"/>
      <c r="F57" s="950"/>
      <c r="G57" s="950"/>
      <c r="H57" s="950"/>
      <c r="I57" s="1038"/>
      <c r="J57" s="585" t="s">
        <v>746</v>
      </c>
      <c r="K57" s="1043">
        <f>IF(L87="","",IF(L87&gt;50,L90,L91))</f>
        <v>4</v>
      </c>
      <c r="L57" s="1035" t="s">
        <v>474</v>
      </c>
      <c r="M57" s="1036"/>
      <c r="N57" s="662" t="str">
        <f>IF(T51="","","Note: RMR has limitations")</f>
        <v/>
      </c>
      <c r="O57" s="933" t="s">
        <v>743</v>
      </c>
      <c r="P57" s="959">
        <v>10</v>
      </c>
      <c r="Q57" s="986"/>
      <c r="R57" s="985"/>
      <c r="S57" s="1123" t="str">
        <f>IF(AND(P15="",P17="",P19=""),"",IF(P57&lt;&gt;"","","Input used ="))</f>
        <v/>
      </c>
      <c r="T57" s="1124" t="str">
        <f>IF(S57="","",E123)</f>
        <v/>
      </c>
      <c r="U57" s="365"/>
      <c r="V57" s="550"/>
      <c r="W57" s="653"/>
      <c r="X57" s="654"/>
      <c r="Y57" s="655"/>
    </row>
    <row r="58" spans="1:29" x14ac:dyDescent="0.2">
      <c r="A58" s="365"/>
      <c r="B58" s="1202"/>
      <c r="C58" s="1201" t="s">
        <v>408</v>
      </c>
      <c r="D58" s="951"/>
      <c r="E58" s="1201" t="s">
        <v>394</v>
      </c>
      <c r="F58" s="952"/>
      <c r="H58" s="365"/>
      <c r="I58" s="1039"/>
      <c r="J58" s="586" t="s">
        <v>747</v>
      </c>
      <c r="K58" s="627">
        <f>E98</f>
        <v>12.962848496947188</v>
      </c>
      <c r="L58" s="663" t="str">
        <f>IF(E91="","",IF(E91&lt;1,"no value for Q &lt; 1","GPa (for Q &gt; 1)"))</f>
        <v>GPa (for Q &gt; 1)</v>
      </c>
      <c r="M58" s="664"/>
      <c r="N58" s="662" t="str">
        <f>IF(T50="","","Note: Q has limitations")</f>
        <v/>
      </c>
      <c r="O58" s="1117" t="s">
        <v>744</v>
      </c>
      <c r="P58" s="1118">
        <v>5</v>
      </c>
      <c r="Q58" s="1108"/>
      <c r="R58" s="1108"/>
      <c r="S58" s="1125" t="str">
        <f>IF(AND(P15="",P17="",P19=""),"",IF(P58&lt;&gt;"","","Input used ="))</f>
        <v/>
      </c>
      <c r="T58" s="1126" t="str">
        <f>IF(S58="","",E124)</f>
        <v/>
      </c>
      <c r="U58" s="365"/>
      <c r="V58" s="550"/>
      <c r="W58" s="656"/>
      <c r="X58" s="657"/>
      <c r="Y58" s="658"/>
    </row>
    <row r="59" spans="1:29" ht="14.25" customHeight="1" x14ac:dyDescent="0.2">
      <c r="A59" s="365"/>
      <c r="B59" s="953" t="s">
        <v>727</v>
      </c>
      <c r="C59" s="1131">
        <v>50</v>
      </c>
      <c r="D59" s="1107"/>
      <c r="E59" s="955" t="str">
        <f>IF(C59="","",IF(C60&gt;'Parameter tables'!AF187,'Parameter tables'!O187,IF(C60&gt;='Parameter tables'!AD188,'Parameter tables'!O188,IF(C60&gt;='Parameter tables'!AD189,'Parameter tables'!O189,IF(C60&gt;='Parameter tables'!AD191,'Parameter tables'!O191,'Parameter tables'!O192)))))</f>
        <v>Favourable</v>
      </c>
      <c r="F59" s="957" t="s">
        <v>246</v>
      </c>
      <c r="H59" s="365"/>
      <c r="I59" s="1040"/>
      <c r="J59" s="591" t="s">
        <v>748</v>
      </c>
      <c r="K59" s="628">
        <f>E138</f>
        <v>12.341332948972235</v>
      </c>
      <c r="L59" s="661" t="s">
        <v>474</v>
      </c>
      <c r="M59" s="665"/>
      <c r="N59" s="1037" t="str">
        <f>IF(T52="","","Note: RMi has limitations")</f>
        <v/>
      </c>
      <c r="O59" s="904" t="s">
        <v>745</v>
      </c>
      <c r="P59" s="1116">
        <f>IF(OR(R42="",M52&lt;&gt;""),E136,"-")</f>
        <v>37.493965093481769</v>
      </c>
      <c r="Q59" s="1114" t="str">
        <f>IF(P59="?","",IF(R42="",F136,""))</f>
        <v>fair</v>
      </c>
      <c r="R59" s="1110"/>
      <c r="S59" s="1115" t="s">
        <v>593</v>
      </c>
      <c r="T59" s="1199">
        <f>IF(P59&lt;&gt;"",E137,"-")</f>
        <v>28.120473820111329</v>
      </c>
      <c r="U59" s="625"/>
      <c r="V59" s="539"/>
    </row>
    <row r="60" spans="1:29" ht="14.25" customHeight="1" x14ac:dyDescent="0.15">
      <c r="A60" s="365"/>
      <c r="B60" s="953" t="s">
        <v>728</v>
      </c>
      <c r="C60" s="1131">
        <v>60</v>
      </c>
      <c r="D60" s="1107"/>
      <c r="E60" s="955" t="str">
        <f>IF(C60="","",IF(C59&gt;'Parameter tables'!S187,'Parameter tables'!O187,IF(AND(C59&lt;'Parameter tables'!S188,C60&lt;'Parameter tables'!V188,C60&gt;'Parameter tables'!T188),'Parameter tables'!O188,IF(AND(C59&lt;'Parameter tables'!S189,C550&lt;='Parameter tables'!V189,C60&gt;='Parameter tables'!T189),'Parameter tables'!O189,IF(AND(C59&lt;='Parameter tables'!S190,C59&gt;='Parameter tables'!Q190,C60&lt;'Parameter tables'!V190),'Parameter tables'!O189,IF(AND(C59&lt;='Parameter tables'!S191,C59&gt;='Parameter tables'!Q191,C60&lt;='Parameter tables'!V191,C60&gt;='Parameter tables'!T191),'Parameter tables'!O191,IF(AND(C59&lt;'Parameter tables'!S192,C60&lt;='Parameter tables'!V192,C60&gt;='Parameter tables'!T192),'Parameter tables'!O192,"?")))))))</f>
        <v>Unfavourable</v>
      </c>
      <c r="F60" s="957" t="s">
        <v>557</v>
      </c>
      <c r="H60" s="626"/>
      <c r="I60" s="361"/>
      <c r="J60" s="361"/>
      <c r="K60" s="378"/>
      <c r="L60" s="349"/>
      <c r="M60" s="380"/>
      <c r="N60" s="1119"/>
      <c r="O60" s="1821" t="str">
        <f>IF(P59="?","",IF(OR(P41="e",P41="f",P41="g"),"The rock support can be found from the support chart for OVERSTRESSED GROUND of brittle rocks",IF(OR(P41="h",P41="i"),"The rock support can be found from the support chart for OVERSTRESSED GROUND of deformable rocks","Use input of Sr and Gc in the  RMi support chart for JOINTED // BLOCKY GROUND")))</f>
        <v>Use input of Sr and Gc in the  RMi support chart for JOINTED // BLOCKY GROUND</v>
      </c>
      <c r="P60" s="1822"/>
      <c r="Q60" s="1822"/>
      <c r="R60" s="1822"/>
      <c r="S60" s="1822"/>
      <c r="T60" s="1823"/>
      <c r="U60" s="625"/>
      <c r="V60" s="381"/>
    </row>
    <row r="61" spans="1:29" ht="13.5" customHeight="1" x14ac:dyDescent="0.2">
      <c r="A61" s="365"/>
      <c r="B61" s="954"/>
      <c r="C61" s="1200" t="str">
        <f>IF(C59&gt;90,"use strike value ≤ 90",IF(C60&gt;90,"use dip &lt; 90",""))</f>
        <v/>
      </c>
      <c r="D61" s="10"/>
      <c r="E61" s="955" t="str">
        <f>IF(C60="","",IF(C59&gt;'Parameter tables'!Y187,'Parameter tables'!O187,IF(AND(C59&lt;'Parameter tables'!Y188,C60&lt;'Parameter tables'!AB188),'Parameter tables'!O188,IF(AND(C59&lt;'Parameter tables'!Y189,C60&lt;='Parameter tables'!AB189),'Parameter tables'!O189,IF(AND(C59&lt;='Parameter tables'!Y190,C59&gt;='Parameter tables'!W190),'Parameter tables'!O189,IF(AND(C59&lt;'Parameter tables'!Y191,C60&gt;'Parameter tables'!AB191),'Parameter tables'!O191,"?"))))))</f>
        <v>Fair</v>
      </c>
      <c r="F61" s="956" t="s">
        <v>558</v>
      </c>
      <c r="H61" s="626"/>
      <c r="I61" s="361"/>
      <c r="K61" s="361"/>
      <c r="L61" s="361"/>
      <c r="M61" s="379"/>
      <c r="N61" s="1120"/>
      <c r="O61" s="1824"/>
      <c r="P61" s="1825"/>
      <c r="Q61" s="1825"/>
      <c r="R61" s="1825"/>
      <c r="S61" s="1825"/>
      <c r="T61" s="1826"/>
      <c r="U61" s="365"/>
      <c r="V61" s="382"/>
    </row>
    <row r="62" spans="1:29" ht="13.5" customHeight="1" x14ac:dyDescent="0.2">
      <c r="A62" s="626"/>
      <c r="B62" s="1827" t="s">
        <v>753</v>
      </c>
      <c r="C62" s="1828"/>
      <c r="D62" s="1828"/>
      <c r="E62" s="1828"/>
      <c r="F62" s="1828"/>
      <c r="G62" s="1828"/>
      <c r="H62" s="1829"/>
      <c r="I62" s="383"/>
      <c r="M62" s="379"/>
      <c r="N62" s="365"/>
      <c r="O62" s="1127" t="str">
        <f>IF(S44&lt;&gt;"","",IF(P41="e","Use input for: Mild bursting",IF(P41="f","Use input for: Moderate bursting",IF(P41="g","Use input for: Heavy bursting",IF(P41="h","use input for: Weak squeezing",IF(P41="f","use input for: Moderate aqueezing",""))))))</f>
        <v/>
      </c>
      <c r="P62" s="1128"/>
      <c r="Q62" s="1128"/>
      <c r="R62" s="1128"/>
      <c r="S62" s="1128"/>
      <c r="T62" s="1129"/>
      <c r="U62" s="629"/>
      <c r="V62" s="381"/>
    </row>
    <row r="63" spans="1:29" ht="14.45" customHeight="1" x14ac:dyDescent="0.2">
      <c r="N63" s="379"/>
      <c r="O63" s="1806" t="s">
        <v>845</v>
      </c>
      <c r="P63" s="1806"/>
      <c r="Q63" s="1806"/>
      <c r="R63" s="1806"/>
      <c r="S63" s="1806"/>
      <c r="T63" s="1806"/>
      <c r="U63" s="365"/>
      <c r="V63" s="384"/>
    </row>
    <row r="64" spans="1:29" x14ac:dyDescent="0.2">
      <c r="A64" s="365"/>
      <c r="B64" s="365"/>
      <c r="C64" s="116"/>
      <c r="D64" s="116"/>
      <c r="E64" s="365"/>
      <c r="F64" s="365"/>
      <c r="G64" s="365"/>
      <c r="H64" s="365"/>
      <c r="I64" s="365"/>
      <c r="J64" s="365"/>
      <c r="K64" s="365"/>
      <c r="L64" s="365"/>
      <c r="M64" s="365"/>
      <c r="N64" s="379"/>
      <c r="O64" s="1807"/>
      <c r="P64" s="1807"/>
      <c r="Q64" s="1807"/>
      <c r="R64" s="1807"/>
      <c r="S64" s="1807"/>
      <c r="T64" s="1807"/>
      <c r="U64" s="365"/>
      <c r="V64" s="365"/>
      <c r="W64" s="365"/>
      <c r="X64" s="365"/>
      <c r="Y64" s="365"/>
      <c r="Z64" s="365"/>
      <c r="AA64" s="365"/>
      <c r="AB64" s="365"/>
      <c r="AC64" s="365"/>
    </row>
    <row r="65" spans="1:30" ht="9.75" customHeight="1" thickBot="1" x14ac:dyDescent="0.25">
      <c r="A65" s="385"/>
      <c r="B65" s="385"/>
      <c r="C65" s="386"/>
      <c r="D65" s="386"/>
      <c r="E65" s="385"/>
      <c r="F65" s="385"/>
      <c r="G65" s="385"/>
      <c r="H65" s="385"/>
      <c r="I65" s="385"/>
      <c r="J65" s="385"/>
      <c r="K65" s="385"/>
      <c r="L65" s="385"/>
      <c r="M65" s="385"/>
      <c r="N65" s="387"/>
      <c r="O65" s="387"/>
      <c r="P65" s="587"/>
      <c r="Q65" s="587"/>
      <c r="R65" s="587"/>
      <c r="S65" s="588"/>
      <c r="T65" s="589"/>
      <c r="U65" s="590"/>
      <c r="V65" s="385"/>
      <c r="W65" s="385"/>
      <c r="X65" s="365"/>
      <c r="Y65" s="365"/>
      <c r="Z65" s="365"/>
      <c r="AA65" s="365"/>
      <c r="AB65" s="365"/>
      <c r="AC65" s="365"/>
    </row>
    <row r="66" spans="1:30" ht="22.15" customHeight="1" thickTop="1" x14ac:dyDescent="0.25">
      <c r="A66" s="1808" t="s">
        <v>479</v>
      </c>
      <c r="B66" s="1808"/>
      <c r="C66" s="1808"/>
      <c r="D66" s="1808"/>
      <c r="E66" s="1808"/>
      <c r="F66" s="1808"/>
      <c r="G66" s="1808"/>
      <c r="H66" s="1808"/>
      <c r="I66" s="1808"/>
      <c r="J66" s="1808"/>
      <c r="K66" s="1808"/>
      <c r="L66" s="1808"/>
      <c r="M66" s="1808"/>
      <c r="N66" s="1808"/>
      <c r="O66" s="1808"/>
      <c r="P66" s="1808"/>
      <c r="Q66" s="1808"/>
      <c r="R66" s="1808"/>
      <c r="S66" s="1808"/>
      <c r="T66" s="1808"/>
      <c r="U66" s="1256"/>
      <c r="V66" s="671"/>
      <c r="W66" s="672"/>
      <c r="X66" s="350"/>
      <c r="Y66" s="347"/>
      <c r="Z66" s="347"/>
      <c r="AA66" s="347"/>
      <c r="AB66" s="347"/>
      <c r="AC66" s="347"/>
      <c r="AD66" s="1"/>
    </row>
    <row r="67" spans="1:30" x14ac:dyDescent="0.2">
      <c r="A67" s="673"/>
      <c r="B67" s="674"/>
      <c r="C67" s="675"/>
      <c r="D67" s="675"/>
      <c r="E67" s="675"/>
      <c r="F67" s="675"/>
      <c r="G67" s="675"/>
      <c r="H67" s="675"/>
      <c r="I67" s="675"/>
      <c r="J67" s="675"/>
      <c r="K67" s="675"/>
      <c r="L67" s="675"/>
      <c r="M67" s="675"/>
      <c r="N67" s="675"/>
      <c r="O67" s="674"/>
      <c r="P67" s="1809" t="s">
        <v>471</v>
      </c>
      <c r="Q67" s="1809"/>
      <c r="R67" s="1809"/>
      <c r="S67" s="1809"/>
      <c r="T67" s="1809"/>
      <c r="U67" s="1809"/>
      <c r="V67" s="676"/>
      <c r="W67" s="677"/>
      <c r="X67" s="351"/>
      <c r="Y67" s="1"/>
      <c r="Z67" s="1"/>
      <c r="AA67" s="1"/>
      <c r="AB67" s="1"/>
      <c r="AC67" s="1"/>
      <c r="AD67" s="1"/>
    </row>
    <row r="68" spans="1:30" ht="15" x14ac:dyDescent="0.25">
      <c r="A68" s="673"/>
      <c r="B68" s="674"/>
      <c r="C68" s="1810" t="s">
        <v>754</v>
      </c>
      <c r="D68" s="1810"/>
      <c r="E68" s="1810"/>
      <c r="F68" s="674"/>
      <c r="G68" s="674"/>
      <c r="H68" s="674"/>
      <c r="I68" s="674"/>
      <c r="J68" s="674"/>
      <c r="K68" s="678"/>
      <c r="L68" s="674"/>
      <c r="M68" s="674"/>
      <c r="N68" s="674"/>
      <c r="O68" s="679"/>
      <c r="P68" s="1812" t="s">
        <v>725</v>
      </c>
      <c r="Q68" s="1812"/>
      <c r="R68" s="1812"/>
      <c r="S68" s="1812"/>
      <c r="T68" s="1812"/>
      <c r="U68" s="1812"/>
      <c r="V68" s="1812"/>
      <c r="W68" s="673"/>
      <c r="Z68" s="1"/>
      <c r="AA68" s="1"/>
      <c r="AB68" s="1"/>
      <c r="AC68" s="1"/>
      <c r="AD68" s="1"/>
    </row>
    <row r="69" spans="1:30" ht="15" customHeight="1" thickBot="1" x14ac:dyDescent="0.3">
      <c r="A69" s="673"/>
      <c r="B69" s="680"/>
      <c r="C69" s="1811"/>
      <c r="D69" s="1811"/>
      <c r="E69" s="1811"/>
      <c r="F69" s="674"/>
      <c r="G69" s="674"/>
      <c r="H69" s="674"/>
      <c r="I69" s="1811" t="s">
        <v>124</v>
      </c>
      <c r="J69" s="1811"/>
      <c r="K69" s="1811"/>
      <c r="L69" s="1811"/>
      <c r="M69" s="1811"/>
      <c r="N69" s="1811"/>
      <c r="O69" s="679"/>
      <c r="P69" s="1212" t="s">
        <v>197</v>
      </c>
      <c r="Q69" s="1212"/>
      <c r="R69" s="1212"/>
      <c r="S69" s="1212"/>
      <c r="T69" s="1212"/>
      <c r="U69" s="1212"/>
      <c r="V69" s="679"/>
      <c r="W69" s="681"/>
      <c r="X69" s="351"/>
      <c r="Y69" s="1"/>
      <c r="Z69" s="1"/>
      <c r="AA69" s="1"/>
      <c r="AB69" s="1"/>
      <c r="AC69" s="1"/>
      <c r="AD69" s="1"/>
    </row>
    <row r="70" spans="1:30" ht="15" thickBot="1" x14ac:dyDescent="0.25">
      <c r="A70" s="673"/>
      <c r="B70" s="1733" t="s">
        <v>125</v>
      </c>
      <c r="C70" s="1734"/>
      <c r="D70" s="1735"/>
      <c r="E70" s="271" t="s">
        <v>126</v>
      </c>
      <c r="F70" s="1736" t="s">
        <v>342</v>
      </c>
      <c r="G70" s="1737"/>
      <c r="H70" s="674"/>
      <c r="I70" s="1689" t="s">
        <v>125</v>
      </c>
      <c r="J70" s="1690"/>
      <c r="K70" s="1691"/>
      <c r="L70" s="272" t="s">
        <v>127</v>
      </c>
      <c r="M70" s="1690" t="s">
        <v>342</v>
      </c>
      <c r="N70" s="1693"/>
      <c r="O70" s="679"/>
      <c r="P70" s="682"/>
      <c r="Q70" s="683" t="s">
        <v>131</v>
      </c>
      <c r="R70" s="1210">
        <v>100</v>
      </c>
      <c r="S70" s="684" t="s">
        <v>157</v>
      </c>
      <c r="T70" s="1150">
        <v>80</v>
      </c>
      <c r="U70" s="1151" t="s">
        <v>813</v>
      </c>
      <c r="V70" s="1152"/>
      <c r="W70" s="685"/>
      <c r="X70" s="352"/>
      <c r="Y70" s="1"/>
      <c r="Z70" s="1"/>
      <c r="AA70" s="1"/>
      <c r="AB70" s="1"/>
      <c r="AC70" s="1"/>
      <c r="AD70" s="1"/>
    </row>
    <row r="71" spans="1:30" ht="14.45" customHeight="1" thickTop="1" x14ac:dyDescent="0.2">
      <c r="A71" s="673"/>
      <c r="B71" s="1786" t="s">
        <v>122</v>
      </c>
      <c r="C71" s="1788" t="s">
        <v>128</v>
      </c>
      <c r="D71" s="1789"/>
      <c r="E71" s="686">
        <f>IF(G71="?","?",IF(P15&lt;&gt;"",W15,G71))</f>
        <v>45</v>
      </c>
      <c r="F71" s="687" t="str">
        <f>IF(P15="","calc. RQD =","")</f>
        <v/>
      </c>
      <c r="G71" s="688" t="str">
        <f>IF(AND(W15="",W16=""),"?",IF(F71="","",IF(W15&lt;&gt;"",W15,W16)))</f>
        <v/>
      </c>
      <c r="H71" s="674"/>
      <c r="I71" s="1760" t="s">
        <v>466</v>
      </c>
      <c r="J71" s="1761"/>
      <c r="K71" s="1762"/>
      <c r="L71" s="689">
        <f>IF(P13="",'Parameter tables'!H11,IF(P13="a",'Parameter tables'!H6,IF(P13="b",'Parameter tables'!H7,IF(P13="c",'Parameter tables'!H8,IF(P13="d",'Parameter tables'!H9,IF(P13="e",'Parameter tables'!H10,IF(P13="f",'Parameter tables'!H11,IF(P13="g",'Parameter tables'!H12,IF(P13="h",'Parameter tables'!H13,IF(P13="i",'Parameter tables'!H14,"?"))))))))))</f>
        <v>7</v>
      </c>
      <c r="M71" s="690" t="s">
        <v>465</v>
      </c>
      <c r="N71" s="691"/>
      <c r="O71" s="679"/>
      <c r="P71" s="692"/>
      <c r="Q71" s="1249" t="s">
        <v>131</v>
      </c>
      <c r="R71" s="1250">
        <f>T70</f>
        <v>80</v>
      </c>
      <c r="S71" s="693" t="s">
        <v>157</v>
      </c>
      <c r="T71" s="1132">
        <v>60</v>
      </c>
      <c r="U71" s="1153" t="s">
        <v>814</v>
      </c>
      <c r="V71" s="1154"/>
      <c r="W71" s="694"/>
      <c r="X71" s="352"/>
      <c r="Y71" s="1"/>
      <c r="Z71" s="1"/>
      <c r="AA71" s="1"/>
      <c r="AB71" s="1"/>
      <c r="AC71" s="1"/>
      <c r="AD71" s="1"/>
    </row>
    <row r="72" spans="1:30" x14ac:dyDescent="0.2">
      <c r="A72" s="673"/>
      <c r="B72" s="1787"/>
      <c r="C72" s="1663" t="s">
        <v>339</v>
      </c>
      <c r="D72" s="1656"/>
      <c r="E72" s="695">
        <f>IF(E71="?","?",IF(E71&lt;10,10,IF(E71&gt;100,100,E71)))</f>
        <v>45</v>
      </c>
      <c r="F72" s="696"/>
      <c r="G72" s="1209"/>
      <c r="H72" s="674"/>
      <c r="I72" s="1790" t="s">
        <v>122</v>
      </c>
      <c r="J72" s="1793" t="s">
        <v>714</v>
      </c>
      <c r="K72" s="1794"/>
      <c r="L72" s="697" t="str">
        <f>IF(L73&lt;&gt;"","",IF(W16="","",IF(W16&lt;'Parameter tables'!F30,'Parameter tables'!H30,IF(W16&lt;'Parameter tables'!F31,'Parameter tables'!H31,IF(W16&lt;'Parameter tables'!F32,'Parameter tables'!H32,IF(W16&lt;'Parameter tables'!F33,'Parameter tables'!H33,IF(W16&lt;='Parameter tables'!F34,'Parameter tables'!H34,IF(W16&lt;='Parameter tables'!F35,'Parameter tables'!H35,IF(W16&lt;='Parameter tables'!F36,'Parameter tables'!H36,IF(W16&lt;='Parameter tables'!F37,'Parameter tables'!H37,"100"))))))))))</f>
        <v/>
      </c>
      <c r="M72" s="698" t="str">
        <f>IF(L72="","","from Vb or Jv")</f>
        <v/>
      </c>
      <c r="N72" s="1007"/>
      <c r="O72" s="679"/>
      <c r="P72" s="692"/>
      <c r="Q72" s="1249" t="s">
        <v>131</v>
      </c>
      <c r="R72" s="1250">
        <f>T71</f>
        <v>60</v>
      </c>
      <c r="S72" s="693" t="s">
        <v>157</v>
      </c>
      <c r="T72" s="1132">
        <v>40</v>
      </c>
      <c r="U72" s="1192" t="s">
        <v>212</v>
      </c>
      <c r="V72" s="1154"/>
      <c r="W72" s="694"/>
      <c r="X72" s="351"/>
      <c r="Y72" s="1"/>
      <c r="Z72" s="1"/>
      <c r="AA72" s="1"/>
      <c r="AB72" s="1"/>
      <c r="AC72" s="1"/>
      <c r="AD72" s="1"/>
    </row>
    <row r="73" spans="1:30" ht="14.25" customHeight="1" x14ac:dyDescent="0.2">
      <c r="A73" s="673"/>
      <c r="B73" s="1756" t="s">
        <v>12</v>
      </c>
      <c r="C73" s="1674" t="s">
        <v>243</v>
      </c>
      <c r="D73" s="1669"/>
      <c r="E73" s="699" t="str">
        <f>IF(P23&lt;&gt;"","",IF(E114&gt;'Parameter tables'!O77,'Parameter tables'!J77,IF(E114&gt;'Parameter tables'!O78,'Parameter tables'!J78,IF(E114&gt;'Parameter tables'!O79,'Parameter tables'!J79,IF(E114&gt;'Parameter tables'!O80,'Parameter tables'!J80,IF(E114&gt;'Parameter tables'!O81,'Parameter tables'!J81,IF(E114&gt;'Parameter tables'!O82,'Parameter tables'!J82,IF(E114&gt;'Parameter tables'!O83,'Parameter tables'!J83,15))))))))</f>
        <v/>
      </c>
      <c r="F73" s="700" t="str">
        <f>IF(E73="","","from block volume (Vb)")</f>
        <v/>
      </c>
      <c r="G73" s="1221"/>
      <c r="H73" s="701" t="str">
        <f>IF(P23&lt;&gt;"","",IF(E114&gt;'Parameter tables'!O77,'Parameter tables'!B77,IF(E114&gt;'Parameter tables'!O78,'Parameter tables'!B78,IF(E114&gt;'Parameter tables'!O79,'Parameter tables'!B79,IF(E114&gt;'Parameter tables'!O80,'Parameter tables'!B80,IF(E114&gt;'Parameter tables'!O81,'Parameter tables'!B81,IF(E114&gt;'Parameter tables'!O82,'Parameter tables'!B82,IF(E114&gt;'Parameter tables'!O83,'Parameter tables'!B83,15))))))))</f>
        <v/>
      </c>
      <c r="I73" s="1791"/>
      <c r="J73" s="1222"/>
      <c r="K73" s="1223"/>
      <c r="L73" s="699">
        <f>IF(P15="","",IF(P15="a",'Parameter tables'!H29,IF(P15="b",'Parameter tables'!H30,IF(P15="c",'Parameter tables'!H31,IF(P15="d",'Parameter tables'!H32,IF(P15="e",'Parameter tables'!H33,IF(P15="f",'Parameter tables'!H34,IF(P15="g",'Parameter tables'!H35,IF(P15="h",'Parameter tables'!H36,IF(P15="i",'Parameter tables'!H37,"?"))))))))))</f>
        <v>8</v>
      </c>
      <c r="M73" s="1795" t="str">
        <f>IF(L73="","","from input value RQD")</f>
        <v>from input value RQD</v>
      </c>
      <c r="N73" s="1796"/>
      <c r="O73" s="702"/>
      <c r="P73" s="692"/>
      <c r="Q73" s="1249" t="s">
        <v>131</v>
      </c>
      <c r="R73" s="1250">
        <f>T72</f>
        <v>40</v>
      </c>
      <c r="S73" s="693" t="s">
        <v>157</v>
      </c>
      <c r="T73" s="1132">
        <v>20</v>
      </c>
      <c r="U73" s="1153" t="s">
        <v>815</v>
      </c>
      <c r="V73" s="1154"/>
      <c r="W73" s="694"/>
      <c r="X73" s="352"/>
      <c r="Y73" s="1"/>
      <c r="Z73" s="1"/>
      <c r="AA73" s="1"/>
      <c r="AB73" s="1"/>
      <c r="AC73" s="1"/>
      <c r="AD73" s="1"/>
    </row>
    <row r="74" spans="1:30" x14ac:dyDescent="0.2">
      <c r="A74" s="673"/>
      <c r="B74" s="1756"/>
      <c r="C74" s="1675"/>
      <c r="D74" s="1641"/>
      <c r="E74" s="703" t="str">
        <f>IF(P23="","",IF(P23="a",'Parameter tables'!J77,IF(P23="b",'Parameter tables'!J78,IF(P23="c",'Parameter tables'!J79,IF(P23="d",'Parameter tables'!J80,"")))))</f>
        <v/>
      </c>
      <c r="F74" s="704" t="str">
        <f>IF(E74="","","from input value of Jn")</f>
        <v/>
      </c>
      <c r="G74" s="1224"/>
      <c r="H74" s="701" t="str">
        <f>IF(P23="","",IF(P23="a",'Parameter tables'!B77,IF(P23="b",'Parameter tables'!B78,IF(P23="c",'Parameter tables'!B79,IF(P23="d",'Parameter tables'!B80,"")))))</f>
        <v/>
      </c>
      <c r="I74" s="1792"/>
      <c r="J74" s="1797" t="s">
        <v>715</v>
      </c>
      <c r="K74" s="1798"/>
      <c r="L74" s="705">
        <f>SUM(L72:L73)</f>
        <v>8</v>
      </c>
      <c r="M74" s="1008"/>
      <c r="N74" s="1009"/>
      <c r="O74" s="702"/>
      <c r="P74" s="706"/>
      <c r="Q74" s="1251" t="s">
        <v>131</v>
      </c>
      <c r="R74" s="1211">
        <f>T73</f>
        <v>20</v>
      </c>
      <c r="S74" s="707" t="s">
        <v>157</v>
      </c>
      <c r="T74" s="708">
        <v>0</v>
      </c>
      <c r="U74" s="1155" t="s">
        <v>816</v>
      </c>
      <c r="V74" s="1156"/>
      <c r="W74" s="709"/>
      <c r="X74" s="352"/>
      <c r="Y74" s="1"/>
      <c r="Z74" s="1"/>
      <c r="AA74" s="1"/>
      <c r="AB74" s="1"/>
      <c r="AC74" s="1"/>
      <c r="AD74" s="1"/>
    </row>
    <row r="75" spans="1:30" ht="12" customHeight="1" x14ac:dyDescent="0.2">
      <c r="A75" s="673"/>
      <c r="B75" s="1756"/>
      <c r="C75" s="1676"/>
      <c r="D75" s="1677"/>
      <c r="E75" s="703">
        <f>IF(P23="","",IF(OR(P23="a",P23="b",P23="c",P23="d"),"",IF(P23="e",'Parameter tables'!J81,IF(P23="f",'Parameter tables'!J82,IF(P23="g",'Parameter tables'!J83,IF(P23="h",'Parameter tables'!J84,IF(P23="i",'Parameter tables'!J85,9)))))))</f>
        <v>9</v>
      </c>
      <c r="F75" s="704" t="str">
        <f>IF(E75="","","from input value of Jn")</f>
        <v>from input value of Jn</v>
      </c>
      <c r="G75" s="1224"/>
      <c r="H75" s="701" t="str">
        <f>IF(P23="","",IF(OR(P23="a",P23="b",P23="c",P23="d"),"",IF(P23="e",'Parameter tables'!B81,IF(P23="f",'Parameter tables'!B82,IF(P23="g",'Parameter tables'!B83,IF(P23="h",'Parameter tables'!B84,IF(P23="i",'Parameter tables'!B85,9)))))))</f>
        <v>3  joint sets</v>
      </c>
      <c r="I75" s="1799" t="s">
        <v>343</v>
      </c>
      <c r="J75" s="1793" t="s">
        <v>716</v>
      </c>
      <c r="K75" s="1794"/>
      <c r="L75" s="699">
        <f>IF(P21&lt;&gt;"","",IF(E115&gt;'Parameter tables'!F63,'Parameter tables'!H62,IF(E115&gt;'Parameter tables'!F64,'Parameter tables'!H63,IF(E115&gt;'Parameter tables'!F65,'Parameter tables'!H64,IF(E115&gt;'GEO-CONDITIONS site (1)'!H95,'Parameter tables'!H65,IF(E115&lt;'Parameter tables'!F66,'Parameter tables'!H66,"?"))))))</f>
        <v>10</v>
      </c>
      <c r="M75" s="1800" t="str">
        <f>IF(L75="","","from block diam. (Db)")</f>
        <v>from block diam. (Db)</v>
      </c>
      <c r="N75" s="1801"/>
      <c r="O75" s="710" t="str">
        <f>IF(P21&lt;&gt;"","",IF(E115&gt;'Parameter tables'!F63,'Parameter tables'!B62,IF(E115&gt;'Parameter tables'!F64,'Parameter tables'!B63,IF(E115&gt;'Parameter tables'!F65,'Parameter tables'!B64,IF(E115&gt;'GEO-CONDITIONS site (1)'!H95,'Parameter tables'!B65,IF(E115&lt;'Parameter tables'!F66,'Parameter tables'!B66,"?"))))))</f>
        <v>Moderate spacing</v>
      </c>
      <c r="P75" s="676"/>
      <c r="Q75" s="711"/>
      <c r="R75" s="711"/>
      <c r="S75" s="676"/>
      <c r="T75" s="676"/>
      <c r="U75" s="676"/>
      <c r="V75" s="676"/>
      <c r="W75" s="681"/>
      <c r="X75" s="352"/>
      <c r="Y75" s="1"/>
      <c r="Z75" s="1"/>
      <c r="AA75" s="1"/>
      <c r="AB75" s="1"/>
      <c r="AC75" s="1"/>
      <c r="AD75" s="1"/>
    </row>
    <row r="76" spans="1:30" ht="13.9" customHeight="1" x14ac:dyDescent="0.2">
      <c r="A76" s="673"/>
      <c r="B76" s="1757"/>
      <c r="C76" s="1663" t="s">
        <v>340</v>
      </c>
      <c r="D76" s="1656"/>
      <c r="E76" s="712">
        <f>SUM(E73:E75)</f>
        <v>9</v>
      </c>
      <c r="F76" s="713"/>
      <c r="G76" s="714"/>
      <c r="H76" s="701" t="str">
        <f>IF(H73&lt;&gt;"",H73,IF(H74&lt;&gt;"",H74,IF(H75&lt;&gt;"",H75,"?")))</f>
        <v>3  joint sets</v>
      </c>
      <c r="I76" s="1799"/>
      <c r="J76" s="1802"/>
      <c r="K76" s="1803"/>
      <c r="L76" s="703" t="str">
        <f>IF(P21="","",IF(P21="a",'Parameter tables'!H62,IF(P21="b",'Parameter tables'!H63,IF(P21="c",'Parameter tables'!H64,IF(P21="d",'Parameter tables'!H65,IF(P21="e",'Parameter tables'!H66,"?"))))))</f>
        <v/>
      </c>
      <c r="M76" s="1804" t="str">
        <f>IF(L76="","","from input of spacing")</f>
        <v/>
      </c>
      <c r="N76" s="1805"/>
      <c r="O76" s="710" t="str">
        <f>IF(P21="","",IF(P21="a",'Parameter tables'!B62,IF(P21="b",'Parameter tables'!B63,IF(P21="c",'Parameter tables'!B64,IF(P21="d",'Parameter tables'!B65,IF(P21="e",'Parameter tables'!B66,"?"))))))</f>
        <v/>
      </c>
      <c r="P76" s="1215" t="s">
        <v>198</v>
      </c>
      <c r="Q76" s="715"/>
      <c r="R76" s="715"/>
      <c r="S76" s="674"/>
      <c r="T76" s="674"/>
      <c r="U76" s="679"/>
      <c r="V76" s="679"/>
      <c r="W76" s="681"/>
      <c r="X76" s="351"/>
      <c r="Y76" s="1"/>
      <c r="Z76" s="1"/>
      <c r="AA76" s="1"/>
      <c r="AB76" s="1"/>
      <c r="AC76" s="1"/>
      <c r="AD76" s="1"/>
    </row>
    <row r="77" spans="1:30" ht="13.9" customHeight="1" x14ac:dyDescent="0.2">
      <c r="A77" s="673"/>
      <c r="B77" s="1755" t="s">
        <v>155</v>
      </c>
      <c r="C77" s="1661" t="s">
        <v>62</v>
      </c>
      <c r="D77" s="1662"/>
      <c r="E77" s="716">
        <f>IF(P27="",1.25,IF(OR(P31="i",P31="k",P31="m",P31="o"),1,IF(P27="a",'Parameter tables'!J95,IF(P27="b",'Parameter tables'!J96,IF(P27="c",'Parameter tables'!J97,IF(P27="d",'Parameter tables'!J98,IF(P27="e",'Parameter tables'!J99,IF(P27="f",'Parameter tables'!J100,IF(P27="g",'Parameter tables'!J101,"?")))))))))</f>
        <v>1</v>
      </c>
      <c r="F77" s="981" t="str">
        <f>IF(P27="","(common value)",IF(OR(P31="i",P31="k",P31="m",P31="o"),"for filled joints, js = 1",""))</f>
        <v/>
      </c>
      <c r="G77" s="982"/>
      <c r="H77" s="701"/>
      <c r="I77" s="1787"/>
      <c r="J77" s="1776" t="s">
        <v>341</v>
      </c>
      <c r="K77" s="1777"/>
      <c r="L77" s="712">
        <f>IF(AND(P15="",P17="",P19=""),"?",SUM(L75:L76))</f>
        <v>10</v>
      </c>
      <c r="M77" s="707"/>
      <c r="N77" s="717"/>
      <c r="O77" s="710" t="str">
        <f>IF(O75&lt;&gt;"",O75,O76)</f>
        <v>Moderate spacing</v>
      </c>
      <c r="P77" s="682"/>
      <c r="Q77" s="683" t="s">
        <v>132</v>
      </c>
      <c r="R77" s="718">
        <v>1000</v>
      </c>
      <c r="S77" s="684" t="s">
        <v>157</v>
      </c>
      <c r="T77" s="1150">
        <v>400</v>
      </c>
      <c r="U77" s="1134" t="s">
        <v>817</v>
      </c>
      <c r="V77" s="1135"/>
      <c r="W77" s="934"/>
      <c r="X77" s="352"/>
      <c r="Y77" s="1"/>
      <c r="Z77" s="1"/>
      <c r="AA77" s="1"/>
      <c r="AB77" s="1"/>
      <c r="AC77" s="1"/>
      <c r="AD77" s="1"/>
    </row>
    <row r="78" spans="1:30" ht="14.45" customHeight="1" x14ac:dyDescent="0.2">
      <c r="A78" s="673"/>
      <c r="B78" s="1756"/>
      <c r="C78" s="1723" t="s">
        <v>69</v>
      </c>
      <c r="D78" s="1653"/>
      <c r="E78" s="703">
        <f>IF(P29="",1.4,IF(OR(P31="i",P31="k",P31="m",P31="o"),1,IF(P29="a",'Parameter tables'!J103,IF(P29="b",'Parameter tables'!J104,IF(P29="c",'Parameter tables'!J105,IF(P29="d",'Parameter tables'!J106,IF(P29="e",'Parameter tables'!J107,IF(P29="f",'Parameter tables'!J108,"?"))))))))</f>
        <v>1</v>
      </c>
      <c r="F78" s="719" t="str">
        <f>IF(P29="","(common value)",IF(OR(P31="i",P31="k",P31="m",P31="o"),"for filled joints, jw = 1",""))</f>
        <v/>
      </c>
      <c r="G78" s="1221"/>
      <c r="H78" s="701"/>
      <c r="I78" s="1778" t="s">
        <v>467</v>
      </c>
      <c r="J78" s="1779"/>
      <c r="K78" s="1780"/>
      <c r="L78" s="720">
        <f>IF(P35="",2,IF(P35="a",'Parameter tables'!H126,IF(P35="b",'Parameter tables'!H127,IF(P35="c",'Parameter tables'!H127,IF(P35="d",'Parameter tables'!H129,IF(P35="e",'Parameter tables'!H130,IF(P35="f",'Parameter tables'!H131,IF(P35="g",'Parameter tables'!H132,"?"))))))))</f>
        <v>4</v>
      </c>
      <c r="M78" s="721"/>
      <c r="N78" s="722"/>
      <c r="O78" s="723"/>
      <c r="P78" s="692"/>
      <c r="Q78" s="1249" t="s">
        <v>132</v>
      </c>
      <c r="R78" s="724">
        <f t="shared" ref="R78:R85" si="0">T77</f>
        <v>400</v>
      </c>
      <c r="S78" s="693" t="s">
        <v>157</v>
      </c>
      <c r="T78" s="1132">
        <v>100</v>
      </c>
      <c r="U78" s="1153" t="s">
        <v>818</v>
      </c>
      <c r="V78" s="1154"/>
      <c r="W78" s="935"/>
      <c r="X78" s="351"/>
      <c r="Y78" s="1"/>
      <c r="Z78" s="1"/>
      <c r="AA78" s="1"/>
      <c r="AB78" s="1"/>
      <c r="AC78" s="1"/>
      <c r="AD78" s="1"/>
    </row>
    <row r="79" spans="1:30" ht="13.9" customHeight="1" x14ac:dyDescent="0.2">
      <c r="A79" s="673"/>
      <c r="B79" s="1757"/>
      <c r="C79" s="1663" t="s">
        <v>320</v>
      </c>
      <c r="D79" s="1656"/>
      <c r="E79" s="712">
        <f>IF(OR(P31="i",P31="k",P31="m",P31="o"),1,E77*E78)</f>
        <v>1</v>
      </c>
      <c r="F79" s="1781" t="str">
        <f>IF(OR(P31="i",P31="k",P31="m",P31="o"),"for filled joints, Jr = 1","")</f>
        <v/>
      </c>
      <c r="G79" s="1782"/>
      <c r="H79" s="701"/>
      <c r="I79" s="1783" t="s">
        <v>468</v>
      </c>
      <c r="J79" s="1784"/>
      <c r="K79" s="1785"/>
      <c r="L79" s="725">
        <f>IF(P37="",'Parameter tables'!H137,IF(P37="a",'Parameter tables'!H135,IF(P37="b",'Parameter tables'!H136,IF(P37="c",'Parameter tables'!H137,IF(P37="d",'Parameter tables'!H138,IF(P37="e",'Parameter tables'!H139,"?"))))))</f>
        <v>5</v>
      </c>
      <c r="M79" s="726"/>
      <c r="N79" s="727"/>
      <c r="O79" s="723"/>
      <c r="P79" s="692"/>
      <c r="Q79" s="1249" t="s">
        <v>132</v>
      </c>
      <c r="R79" s="724">
        <f t="shared" si="0"/>
        <v>100</v>
      </c>
      <c r="S79" s="693" t="s">
        <v>157</v>
      </c>
      <c r="T79" s="1132">
        <v>40</v>
      </c>
      <c r="U79" s="1153" t="s">
        <v>813</v>
      </c>
      <c r="V79" s="1154"/>
      <c r="W79" s="935"/>
      <c r="X79" s="351"/>
      <c r="Y79" s="1"/>
      <c r="Z79" s="1"/>
      <c r="AA79" s="1"/>
      <c r="AB79" s="1"/>
      <c r="AC79" s="1"/>
      <c r="AD79" s="1"/>
    </row>
    <row r="80" spans="1:30" x14ac:dyDescent="0.2">
      <c r="A80" s="673"/>
      <c r="B80" s="1755" t="s">
        <v>154</v>
      </c>
      <c r="C80" s="1674" t="s">
        <v>241</v>
      </c>
      <c r="D80" s="1669"/>
      <c r="E80" s="699">
        <f>IF(P31="",1,IF(P31="a",'Parameter tables'!J111,IF(P31="b",'Parameter tables'!J112,IF(P31="c",'Parameter tables'!J113,IF(P31="d",'Parameter tables'!J114,IF(P31="e",'Parameter tables'!J115,IF(P31="f",'Parameter tables'!J116,"")))))))</f>
        <v>1</v>
      </c>
      <c r="F80" s="981" t="str">
        <f>IF(P31="","(common value)","")</f>
        <v/>
      </c>
      <c r="G80" s="1221"/>
      <c r="H80" s="701" t="str">
        <f>IF(P31="",'Parameter tables'!B112,IF(P31="a",'Parameter tables'!B111,IF(P31="b",'Parameter tables'!B112,IF(P31="c",'Parameter tables'!B113,IF(P31="d",'Parameter tables'!B114,IF(P31="e",'Parameter tables'!B115,IF(P31="f",'Parameter tables'!B116,"")))))))</f>
        <v>Unweathered, fresh joint walls  //no filling</v>
      </c>
      <c r="I80" s="1769" t="s">
        <v>469</v>
      </c>
      <c r="J80" s="1770"/>
      <c r="K80" s="1771"/>
      <c r="L80" s="725">
        <f>IF(P27="",'Parameter tables'!H97,IF(P27="a",'Parameter tables'!H95,IF(P27="b",'Parameter tables'!H96,IF(P27="c",'Parameter tables'!H97,IF(P27="d",'Parameter tables'!H98,IF(P27="e",'Parameter tables'!H99,IF(P27="f",'Parameter tables'!H100,IF(P27="g",'Parameter tables'!H101,"?"))))))))</f>
        <v>1</v>
      </c>
      <c r="M80" s="726"/>
      <c r="N80" s="727"/>
      <c r="O80" s="723"/>
      <c r="P80" s="692"/>
      <c r="Q80" s="1249" t="s">
        <v>132</v>
      </c>
      <c r="R80" s="724">
        <f t="shared" si="0"/>
        <v>40</v>
      </c>
      <c r="S80" s="693" t="s">
        <v>157</v>
      </c>
      <c r="T80" s="1132">
        <v>10</v>
      </c>
      <c r="U80" s="1153" t="s">
        <v>814</v>
      </c>
      <c r="V80" s="1154"/>
      <c r="W80" s="935"/>
      <c r="X80" s="351"/>
      <c r="Y80" s="1"/>
      <c r="Z80" s="1"/>
      <c r="AA80" s="1"/>
      <c r="AB80" s="1"/>
      <c r="AC80" s="1"/>
      <c r="AD80" s="1"/>
    </row>
    <row r="81" spans="1:30" x14ac:dyDescent="0.2">
      <c r="A81" s="673"/>
      <c r="B81" s="1756"/>
      <c r="C81" s="1675"/>
      <c r="D81" s="1641"/>
      <c r="E81" s="703" t="str">
        <f>IF(P31="","",IF(P31="h",'Parameter tables'!J119,IF(P31="j",'Parameter tables'!J120,IF(P31="l",'Parameter tables'!J121,IF(P31="n",'Parameter tables'!J122,"")))))</f>
        <v/>
      </c>
      <c r="F81" s="728" t="str">
        <f>IF(E81="","","filling &lt; 5mm")</f>
        <v/>
      </c>
      <c r="G81" s="729"/>
      <c r="H81" s="701" t="str">
        <f>IF(P31="","",IF(P31="h",'Parameter tables'!B119,IF(P31="j",'Parameter tables'!B120,IF(P31="l",'Parameter tables'!B121,IF(P31="n",'Parameter tables'!B122,"")))))</f>
        <v/>
      </c>
      <c r="I81" s="1772" t="s">
        <v>724</v>
      </c>
      <c r="J81" s="1219" t="s">
        <v>215</v>
      </c>
      <c r="K81" s="1774" t="s">
        <v>79</v>
      </c>
      <c r="L81" s="731">
        <f>IF(OR(P31="",P31="a",P31="b",P31="c",P31="d",P31="e",P31="f"),'Parameter tables'!H111,IF(P31="h",'Parameter tables'!H119,IF(P31="j",'Parameter tables'!H120,IF(P31="l",'Parameter tables'!H121,IF(P31="n",'Parameter tables'!H122,"")))))</f>
        <v>6</v>
      </c>
      <c r="M81" s="730" t="s">
        <v>709</v>
      </c>
      <c r="N81" s="732">
        <f>L78+L79+L80+L84</f>
        <v>22</v>
      </c>
      <c r="O81" s="723"/>
      <c r="P81" s="692"/>
      <c r="Q81" s="1249" t="s">
        <v>132</v>
      </c>
      <c r="R81" s="724">
        <f t="shared" si="0"/>
        <v>10</v>
      </c>
      <c r="S81" s="693" t="s">
        <v>157</v>
      </c>
      <c r="T81" s="1132">
        <v>4</v>
      </c>
      <c r="U81" s="1192" t="s">
        <v>212</v>
      </c>
      <c r="V81" s="1154"/>
      <c r="W81" s="935"/>
      <c r="X81" s="351"/>
      <c r="Y81" s="1"/>
      <c r="Z81" s="1"/>
      <c r="AA81" s="1"/>
      <c r="AB81" s="1"/>
      <c r="AC81" s="1"/>
      <c r="AD81" s="1"/>
    </row>
    <row r="82" spans="1:30" x14ac:dyDescent="0.2">
      <c r="A82" s="673"/>
      <c r="B82" s="1756"/>
      <c r="C82" s="1676"/>
      <c r="D82" s="1677"/>
      <c r="E82" s="703" t="str">
        <f>IF(P31="","",IF(P31="i",'Parameter tables'!K119,IF(P31="k",'Parameter tables'!K120,IF(P31="m",'Parameter tables'!K121,IF(P31="o",'Parameter tables'!K122,IF(P31="o",'Parameter tables'!K122,""))))))</f>
        <v/>
      </c>
      <c r="F82" s="728" t="str">
        <f>IF(E82="","","filling &gt;5mm")</f>
        <v/>
      </c>
      <c r="G82" s="729"/>
      <c r="H82" s="701" t="str">
        <f>IF(P31="","",IF(P31="i",'Parameter tables'!B119,IF(P31="k",'Parameter tables'!B120,IF(P31="m",'Parameter tables'!B121,IF(P31="o",'Parameter tables'!B122,"")))))</f>
        <v/>
      </c>
      <c r="I82" s="1773"/>
      <c r="J82" s="1220" t="s">
        <v>216</v>
      </c>
      <c r="K82" s="1775"/>
      <c r="L82" s="703" t="str">
        <f>IF(P31="","",IF(P31="i",'Parameter tables'!I119,IF(P31="k",'Parameter tables'!I120,IF(P31="m",'Parameter tables'!I121,IF(P31="o",'Parameter tables'!I122,"")))))</f>
        <v/>
      </c>
      <c r="M82" s="733"/>
      <c r="N82" s="727"/>
      <c r="O82" s="723"/>
      <c r="P82" s="692"/>
      <c r="Q82" s="1249" t="s">
        <v>132</v>
      </c>
      <c r="R82" s="724">
        <f t="shared" si="0"/>
        <v>4</v>
      </c>
      <c r="S82" s="693" t="s">
        <v>157</v>
      </c>
      <c r="T82" s="1132">
        <v>1</v>
      </c>
      <c r="U82" s="1153" t="s">
        <v>815</v>
      </c>
      <c r="V82" s="1154"/>
      <c r="W82" s="935"/>
      <c r="X82" s="351"/>
      <c r="Y82" s="1"/>
      <c r="Z82" s="1"/>
      <c r="AA82" s="1"/>
      <c r="AB82" s="1"/>
      <c r="AC82" s="1"/>
      <c r="AD82" s="1"/>
    </row>
    <row r="83" spans="1:30" x14ac:dyDescent="0.2">
      <c r="A83" s="673"/>
      <c r="B83" s="1757"/>
      <c r="C83" s="1663" t="s">
        <v>338</v>
      </c>
      <c r="D83" s="1656"/>
      <c r="E83" s="712">
        <f>SUM(E80:E82)</f>
        <v>1</v>
      </c>
      <c r="F83" s="1208"/>
      <c r="G83" s="1209"/>
      <c r="H83" s="701" t="str">
        <f>IF(H80&lt;&gt;"",H80,IF(H81&lt;&gt;"",H81,IF(H82&lt;&gt;"",H82,"?")))</f>
        <v>Unweathered, fresh joint walls  //no filling</v>
      </c>
      <c r="I83" s="1769" t="s">
        <v>470</v>
      </c>
      <c r="J83" s="1770"/>
      <c r="K83" s="1771"/>
      <c r="L83" s="703">
        <f>IF(P31="",'Parameter tables'!H112,IF(P31="a",'Parameter tables'!H111,IF(P31="b",'Parameter tables'!H112,IF(P31="c",'Parameter tables'!H113,IF(P31="d",'Parameter tables'!H114,IF(P31="e",'Parameter tables'!H115,IF(P31="f",'Parameter tables'!H116,'Parameter tables'!H116)))))))</f>
        <v>6</v>
      </c>
      <c r="M83" s="726"/>
      <c r="N83" s="727"/>
      <c r="O83" s="679"/>
      <c r="P83" s="692"/>
      <c r="Q83" s="1249" t="s">
        <v>132</v>
      </c>
      <c r="R83" s="724">
        <f t="shared" si="0"/>
        <v>1</v>
      </c>
      <c r="S83" s="693" t="s">
        <v>157</v>
      </c>
      <c r="T83" s="1132">
        <v>0.1</v>
      </c>
      <c r="U83" s="1153" t="s">
        <v>816</v>
      </c>
      <c r="V83" s="1154"/>
      <c r="W83" s="935"/>
      <c r="X83" s="351"/>
      <c r="Y83" s="1"/>
      <c r="Z83" s="1"/>
      <c r="AA83" s="1"/>
      <c r="AB83" s="1"/>
      <c r="AC83" s="1"/>
      <c r="AD83" s="1"/>
    </row>
    <row r="84" spans="1:30" ht="20.45" customHeight="1" x14ac:dyDescent="0.2">
      <c r="A84" s="673"/>
      <c r="B84" s="734" t="s">
        <v>156</v>
      </c>
      <c r="C84" s="1683" t="s">
        <v>107</v>
      </c>
      <c r="D84" s="1682"/>
      <c r="E84" s="689">
        <f>IF(P39="",'Parameter tables'!J151,IF(P39="a",'Parameter tables'!J151,IF(P39="b",'Parameter tables'!J151,IF(P39="c",'Parameter tables'!J153,IF(P39="d",'Parameter tables'!J154,IF(P39="e",'Parameter tables'!J155,IF(P39="f",'Parameter tables'!J156,IF(P39="g",'Parameter tables'!J157,"?"))))))))</f>
        <v>0.66</v>
      </c>
      <c r="F84" s="735" t="str">
        <f>IF(P39="","(common value)","")</f>
        <v/>
      </c>
      <c r="G84" s="736"/>
      <c r="H84" s="674"/>
      <c r="I84" s="1752" t="s">
        <v>464</v>
      </c>
      <c r="J84" s="1753"/>
      <c r="K84" s="1754"/>
      <c r="L84" s="737">
        <f>SUM(L81:L83)</f>
        <v>12</v>
      </c>
      <c r="M84" s="738"/>
      <c r="N84" s="739"/>
      <c r="O84" s="679"/>
      <c r="P84" s="692"/>
      <c r="Q84" s="1249" t="s">
        <v>132</v>
      </c>
      <c r="R84" s="724">
        <f t="shared" si="0"/>
        <v>0.1</v>
      </c>
      <c r="S84" s="693" t="s">
        <v>157</v>
      </c>
      <c r="T84" s="1132">
        <v>0.01</v>
      </c>
      <c r="U84" s="1157" t="s">
        <v>819</v>
      </c>
      <c r="V84" s="1154"/>
      <c r="W84" s="935"/>
      <c r="X84" s="351"/>
      <c r="Y84" s="1"/>
      <c r="Z84" s="1"/>
      <c r="AA84" s="1"/>
      <c r="AB84" s="1"/>
      <c r="AC84" s="1"/>
      <c r="AD84" s="1"/>
    </row>
    <row r="85" spans="1:30" x14ac:dyDescent="0.2">
      <c r="A85" s="673"/>
      <c r="B85" s="1755" t="s">
        <v>153</v>
      </c>
      <c r="C85" s="1674" t="s">
        <v>242</v>
      </c>
      <c r="D85" s="1669"/>
      <c r="E85" s="699">
        <f>IF(P41="","",IF(P41="a",'Parameter tables'!J162,IF(P41="b",'Parameter tables'!J162,IF(P41="c",'Parameter tables'!J164,IF(P41="d",'Parameter tables'!J165,"")))))</f>
        <v>1</v>
      </c>
      <c r="F85" s="740" t="s">
        <v>475</v>
      </c>
      <c r="G85" s="741"/>
      <c r="H85" s="674"/>
      <c r="I85" s="1758" t="s">
        <v>151</v>
      </c>
      <c r="J85" s="1759"/>
      <c r="K85" s="1207" t="s">
        <v>106</v>
      </c>
      <c r="L85" s="742">
        <f>IF(P39="",'Parameter tables'!H152,IF(P39="a",'Parameter tables'!H151,IF(P39="b",'Parameter tables'!H152,IF(P39="c",'Parameter tables'!H153,IF(P39="d",'Parameter tables'!H154,IF(P39="e",'Parameter tables'!H155,IF(P39="f",'Parameter tables'!H155,"?")))))))</f>
        <v>7</v>
      </c>
      <c r="M85" s="743"/>
      <c r="N85" s="744"/>
      <c r="O85" s="679"/>
      <c r="P85" s="706"/>
      <c r="Q85" s="1251" t="s">
        <v>132</v>
      </c>
      <c r="R85" s="745">
        <f t="shared" si="0"/>
        <v>0.01</v>
      </c>
      <c r="S85" s="707" t="s">
        <v>157</v>
      </c>
      <c r="T85" s="1133">
        <v>1E-3</v>
      </c>
      <c r="U85" s="1155" t="s">
        <v>820</v>
      </c>
      <c r="V85" s="1156"/>
      <c r="W85" s="936"/>
      <c r="X85" s="351"/>
      <c r="Y85" s="1"/>
      <c r="Z85" s="1"/>
      <c r="AA85" s="1"/>
      <c r="AB85" s="1"/>
      <c r="AC85" s="1"/>
      <c r="AD85" s="1"/>
    </row>
    <row r="86" spans="1:30" ht="14.25" customHeight="1" x14ac:dyDescent="0.2">
      <c r="A86" s="673"/>
      <c r="B86" s="1756"/>
      <c r="C86" s="1675"/>
      <c r="D86" s="1641"/>
      <c r="E86" s="703" t="str">
        <f>IF(P41="","",IF(P41="e",'Parameter tables'!J167,IF(P41="f",'Parameter tables'!J168,IF(P41="g",'Parameter tables'!J169,""))))</f>
        <v/>
      </c>
      <c r="F86" s="746" t="s">
        <v>476</v>
      </c>
      <c r="G86" s="747"/>
      <c r="H86" s="674"/>
      <c r="I86" s="1760" t="s">
        <v>865</v>
      </c>
      <c r="J86" s="1761"/>
      <c r="K86" s="1762"/>
      <c r="L86" s="689">
        <f>IF(P25="",-2,IF(P25="a",'Parameter tables'!H87,IF(P25="b",'Parameter tables'!H88,IF(P25="c",'Parameter tables'!H89,IF(P25="d",'Parameter tables'!H90,IF(P25="e",'Parameter tables'!H91,"?"))))))</f>
        <v>-2</v>
      </c>
      <c r="M86" s="748"/>
      <c r="N86" s="749"/>
      <c r="O86" s="750"/>
      <c r="P86" s="676"/>
      <c r="Q86" s="711"/>
      <c r="R86" s="711"/>
      <c r="S86" s="676"/>
      <c r="T86" s="676"/>
      <c r="U86" s="751"/>
      <c r="V86" s="676"/>
      <c r="W86" s="681"/>
      <c r="X86" s="351"/>
      <c r="Y86" s="1"/>
      <c r="Z86" s="1"/>
      <c r="AA86" s="1"/>
      <c r="AB86" s="1"/>
      <c r="AC86" s="1"/>
      <c r="AD86" s="1"/>
    </row>
    <row r="87" spans="1:30" x14ac:dyDescent="0.2">
      <c r="A87" s="673"/>
      <c r="B87" s="1756"/>
      <c r="C87" s="1675"/>
      <c r="D87" s="1641"/>
      <c r="E87" s="703" t="str">
        <f>IF(P41="","",IF(P41="h",'Parameter tables'!J170,IF(P41="i",'Parameter tables'!J171,"")))</f>
        <v/>
      </c>
      <c r="F87" s="746" t="s">
        <v>477</v>
      </c>
      <c r="G87" s="747"/>
      <c r="H87" s="752"/>
      <c r="I87" s="753"/>
      <c r="J87" s="1763" t="s">
        <v>131</v>
      </c>
      <c r="K87" s="1764"/>
      <c r="L87" s="754">
        <f>IF(AND(P15="",P17="",P19=""),"?",IF(L85="?","?",L71+L74+L77+N81+L85+L86))</f>
        <v>52</v>
      </c>
      <c r="M87" s="755" t="str">
        <f>IF(L87="?","",IF(L87&gt;T70,U70,IF(L87&gt;T71,U71,IF(L87&gt;T72,U72,IF(L87&gt;T73,U73,U74)))))</f>
        <v>fair</v>
      </c>
      <c r="N87" s="756"/>
      <c r="O87" s="750"/>
      <c r="P87" s="1215" t="s">
        <v>170</v>
      </c>
      <c r="Q87" s="715"/>
      <c r="R87" s="715"/>
      <c r="S87" s="679"/>
      <c r="T87" s="757"/>
      <c r="U87" s="758"/>
      <c r="V87" s="679"/>
      <c r="W87" s="681"/>
      <c r="X87" s="351"/>
      <c r="Y87" s="1"/>
      <c r="Z87" s="1"/>
      <c r="AA87" s="1"/>
      <c r="AB87" s="1"/>
      <c r="AC87" s="1"/>
      <c r="AD87" s="1"/>
    </row>
    <row r="88" spans="1:30" ht="14.25" customHeight="1" x14ac:dyDescent="0.2">
      <c r="A88" s="673"/>
      <c r="B88" s="1756"/>
      <c r="C88" s="1676"/>
      <c r="D88" s="1677"/>
      <c r="E88" s="703" t="str">
        <f>IF(P41="j",'Parameter tables'!J176,IF(P41="k",'Parameter tables'!J177,IF(P41="l",'Parameter tables'!J178,IF(P41="m",'Parameter tables'!J179,IF(P41="n",'Parameter tables'!J1132,IF(P41="o",'Parameter tables'!J181,IF(P41="p",'Parameter tables'!J182,IF(P41="q",'Parameter tables'!J183,""))))))))</f>
        <v/>
      </c>
      <c r="F88" s="728" t="s">
        <v>478</v>
      </c>
      <c r="G88" s="759"/>
      <c r="H88" s="760"/>
      <c r="I88" s="1765" t="s">
        <v>133</v>
      </c>
      <c r="J88" s="1766"/>
      <c r="K88" s="1740" t="str">
        <f>IF(L87="","",IF(OR(P41="e",P41="f",P41="g",P41="h",P41="i")," Outside stress limit of RMR",IF(OR(P41="j",P41="k",P41="l",P41="m",P41="n",P41="o",P41="p")," For weakness zones, the RMR limit is unclear",IF(P39="e"," Use of shotcrete may be difficult",IF(OR(P39="f",P39="g")," High water inflow: The use of shotcrete is difficult/impossible","")))))</f>
        <v/>
      </c>
      <c r="L88" s="1740"/>
      <c r="M88" s="1740"/>
      <c r="N88" s="1741"/>
      <c r="O88" s="761"/>
      <c r="P88" s="682"/>
      <c r="Q88" s="683" t="s">
        <v>139</v>
      </c>
      <c r="R88" s="762">
        <v>100</v>
      </c>
      <c r="S88" s="763" t="s">
        <v>58</v>
      </c>
      <c r="T88" s="1147">
        <v>40</v>
      </c>
      <c r="U88" s="1141" t="s">
        <v>821</v>
      </c>
      <c r="V88" s="1142"/>
      <c r="W88" s="934"/>
      <c r="X88" s="351"/>
      <c r="Y88" s="1"/>
      <c r="Z88" s="1"/>
      <c r="AA88" s="1"/>
      <c r="AB88" s="1"/>
      <c r="AC88" s="1"/>
      <c r="AD88" s="1"/>
    </row>
    <row r="89" spans="1:30" ht="15" thickBot="1" x14ac:dyDescent="0.25">
      <c r="A89" s="673"/>
      <c r="B89" s="1756"/>
      <c r="C89" s="1663" t="s">
        <v>337</v>
      </c>
      <c r="D89" s="1656"/>
      <c r="E89" s="712">
        <f>IF(SUM(E85:E88)=0,1,SUM(E85:E88))</f>
        <v>1</v>
      </c>
      <c r="F89" s="764" t="str">
        <f>IF(P41="","(common value)",IF(P41="e",'Parameter tables'!C167,IF(P41="f",'Parameter tables'!C168,IF(P41="g",'Parameter tables'!C169,IF(P41="h",'Parameter tables'!D170,IF(P41="i",'Parameter tables'!D171,""))))))</f>
        <v/>
      </c>
      <c r="G89" s="1209"/>
      <c r="H89" s="765"/>
      <c r="I89" s="1767"/>
      <c r="J89" s="1768"/>
      <c r="K89" s="1742"/>
      <c r="L89" s="1742"/>
      <c r="M89" s="1742"/>
      <c r="N89" s="1743"/>
      <c r="O89" s="761"/>
      <c r="P89" s="692"/>
      <c r="Q89" s="1249" t="s">
        <v>139</v>
      </c>
      <c r="R89" s="766">
        <f>T88</f>
        <v>40</v>
      </c>
      <c r="S89" s="767" t="s">
        <v>58</v>
      </c>
      <c r="T89" s="1148">
        <v>10</v>
      </c>
      <c r="U89" s="1143" t="s">
        <v>675</v>
      </c>
      <c r="V89" s="1144"/>
      <c r="W89" s="935"/>
      <c r="X89" s="351"/>
      <c r="Y89" s="1"/>
      <c r="Z89" s="1"/>
      <c r="AA89" s="1"/>
      <c r="AB89" s="1"/>
      <c r="AC89" s="1"/>
      <c r="AD89" s="1"/>
    </row>
    <row r="90" spans="1:30" x14ac:dyDescent="0.2">
      <c r="A90" s="673"/>
      <c r="B90" s="1757"/>
      <c r="C90" s="1683" t="s">
        <v>385</v>
      </c>
      <c r="D90" s="1682"/>
      <c r="E90" s="768" t="str">
        <f>IF(P41&lt;&gt;"d","",IF(AND(P41="d",E95&gt;20),'Parameter tables'!S165,IF(AND(P41="d",E95&gt;10),'Parameter tables'!R165,'Parameter tables'!Q165)))</f>
        <v/>
      </c>
      <c r="F90" s="769" t="s">
        <v>378</v>
      </c>
      <c r="G90" s="770"/>
      <c r="H90" s="674"/>
      <c r="I90" s="1746" t="s">
        <v>413</v>
      </c>
      <c r="J90" s="1747"/>
      <c r="K90" s="980" t="s">
        <v>412</v>
      </c>
      <c r="L90" s="771">
        <f>IF(L87="?","?",2*L87-100)</f>
        <v>4</v>
      </c>
      <c r="M90" s="772" t="s">
        <v>495</v>
      </c>
      <c r="N90" s="773"/>
      <c r="O90" s="774"/>
      <c r="P90" s="692"/>
      <c r="Q90" s="1249" t="s">
        <v>139</v>
      </c>
      <c r="R90" s="766">
        <f>T89</f>
        <v>10</v>
      </c>
      <c r="S90" s="767" t="s">
        <v>58</v>
      </c>
      <c r="T90" s="1148">
        <v>1</v>
      </c>
      <c r="U90" s="1143" t="s">
        <v>652</v>
      </c>
      <c r="V90" s="1144"/>
      <c r="W90" s="935"/>
      <c r="X90" s="351"/>
      <c r="Y90" s="1"/>
      <c r="Z90" s="1"/>
      <c r="AA90" s="1"/>
      <c r="AB90" s="1"/>
      <c r="AC90" s="1"/>
      <c r="AD90" s="1"/>
    </row>
    <row r="91" spans="1:30" x14ac:dyDescent="0.2">
      <c r="A91" s="673"/>
      <c r="B91" s="1748" t="s">
        <v>164</v>
      </c>
      <c r="C91" s="1644" t="s">
        <v>132</v>
      </c>
      <c r="D91" s="1645"/>
      <c r="E91" s="775">
        <f>IF(E89="?","?",IF(AND(P17="",P15="",P19=""),"?",E72/E76*E79/E83*E84/E89))</f>
        <v>3.3000000000000003</v>
      </c>
      <c r="F91" s="776" t="str">
        <f>IF(E91="?","",IF(E91&gt;T78,U78,IF(E91&gt;T79,U79,IF(E91&gt;T80,U80,IF(E91&gt;T81,U81,IF(E91&gt;T82,U82,IF(E91&gt;T83,U83,IF(E91&gt;T84,U84,U85))))))))</f>
        <v>poor</v>
      </c>
      <c r="G91" s="777"/>
      <c r="H91" s="674"/>
      <c r="I91" s="1751" t="s">
        <v>413</v>
      </c>
      <c r="J91" s="1684"/>
      <c r="K91" s="1225" t="s">
        <v>412</v>
      </c>
      <c r="L91" s="742">
        <f>IF(L87="?","?",10^((L87-10)/40))</f>
        <v>11.220184543019636</v>
      </c>
      <c r="M91" s="778" t="s">
        <v>496</v>
      </c>
      <c r="N91" s="779"/>
      <c r="O91" s="774"/>
      <c r="P91" s="692"/>
      <c r="Q91" s="1249" t="s">
        <v>139</v>
      </c>
      <c r="R91" s="766">
        <f>T90</f>
        <v>1</v>
      </c>
      <c r="S91" s="767" t="s">
        <v>58</v>
      </c>
      <c r="T91" s="1148">
        <v>0.4</v>
      </c>
      <c r="U91" s="1143" t="s">
        <v>822</v>
      </c>
      <c r="V91" s="1144"/>
      <c r="W91" s="935"/>
      <c r="X91" s="351"/>
      <c r="Y91" s="1"/>
      <c r="Z91" s="1"/>
      <c r="AA91" s="1"/>
      <c r="AB91" s="1"/>
      <c r="AC91" s="1"/>
      <c r="AD91" s="1"/>
    </row>
    <row r="92" spans="1:30" x14ac:dyDescent="0.2">
      <c r="A92" s="673"/>
      <c r="B92" s="1749"/>
      <c r="C92" s="1723" t="s">
        <v>134</v>
      </c>
      <c r="D92" s="1653"/>
      <c r="E92" s="725">
        <f>IF(E91="?","",E91*E103/100)</f>
        <v>2.8875000000000002</v>
      </c>
      <c r="F92" s="780" t="s">
        <v>595</v>
      </c>
      <c r="G92" s="781"/>
      <c r="H92" s="674"/>
      <c r="I92" s="782"/>
      <c r="J92" s="783"/>
      <c r="K92" s="784"/>
      <c r="L92" s="785"/>
      <c r="M92" s="782"/>
      <c r="N92" s="786"/>
      <c r="O92" s="750"/>
      <c r="P92" s="692"/>
      <c r="Q92" s="1249" t="s">
        <v>139</v>
      </c>
      <c r="R92" s="766">
        <f>T91</f>
        <v>0.4</v>
      </c>
      <c r="S92" s="767" t="s">
        <v>58</v>
      </c>
      <c r="T92" s="1148">
        <v>0.1</v>
      </c>
      <c r="U92" s="1143" t="s">
        <v>823</v>
      </c>
      <c r="V92" s="1144"/>
      <c r="W92" s="935"/>
      <c r="X92" s="351"/>
      <c r="Y92" s="1"/>
      <c r="Z92" s="1"/>
      <c r="AA92" s="1"/>
      <c r="AB92" s="1"/>
      <c r="AC92" s="1"/>
      <c r="AD92" s="1"/>
    </row>
    <row r="93" spans="1:30" x14ac:dyDescent="0.2">
      <c r="A93" s="673"/>
      <c r="B93" s="1750"/>
      <c r="C93" s="1663" t="s">
        <v>387</v>
      </c>
      <c r="D93" s="1656"/>
      <c r="E93" s="978">
        <f>IF(P41="d",F93*E89/E90,F93)</f>
        <v>8.25</v>
      </c>
      <c r="F93" s="787">
        <f>IF(E91="?","?",IF(E91&gt;10,E91*5,IF(E91&gt;0.1,2.5*E91,E91)))</f>
        <v>8.25</v>
      </c>
      <c r="G93" s="788" t="s">
        <v>386</v>
      </c>
      <c r="H93" s="674"/>
      <c r="I93" s="789"/>
      <c r="J93" s="789"/>
      <c r="K93" s="790"/>
      <c r="L93" s="761"/>
      <c r="M93" s="761"/>
      <c r="N93" s="791"/>
      <c r="O93" s="791"/>
      <c r="P93" s="706"/>
      <c r="Q93" s="1251" t="s">
        <v>139</v>
      </c>
      <c r="R93" s="792">
        <f>T92</f>
        <v>0.1</v>
      </c>
      <c r="S93" s="793" t="s">
        <v>58</v>
      </c>
      <c r="T93" s="1149">
        <v>0.01</v>
      </c>
      <c r="U93" s="1145" t="s">
        <v>824</v>
      </c>
      <c r="V93" s="1146"/>
      <c r="W93" s="936"/>
      <c r="X93" s="351"/>
      <c r="Y93" s="1"/>
      <c r="Z93" s="1"/>
      <c r="AA93" s="1"/>
      <c r="AB93" s="1"/>
      <c r="AC93" s="1"/>
      <c r="AD93" s="1"/>
    </row>
    <row r="94" spans="1:30" x14ac:dyDescent="0.2">
      <c r="A94" s="673"/>
      <c r="B94" s="1738" t="s">
        <v>163</v>
      </c>
      <c r="C94" s="1661" t="s">
        <v>167</v>
      </c>
      <c r="D94" s="1662"/>
      <c r="E94" s="720">
        <f>IF(P57="",10,P57)</f>
        <v>10</v>
      </c>
      <c r="F94" s="794" t="str">
        <f>IF(P57="","assumed (no input given)","m")</f>
        <v>m</v>
      </c>
      <c r="G94" s="777"/>
      <c r="H94" s="674"/>
      <c r="I94" s="789"/>
      <c r="J94" s="789"/>
      <c r="K94" s="790"/>
      <c r="L94" s="761"/>
      <c r="M94" s="761"/>
      <c r="N94" s="791"/>
      <c r="O94" s="750"/>
      <c r="P94" s="676"/>
      <c r="Q94" s="711"/>
      <c r="R94" s="711"/>
      <c r="S94" s="676"/>
      <c r="T94" s="676"/>
      <c r="U94" s="676"/>
      <c r="V94" s="676"/>
      <c r="W94" s="676"/>
      <c r="X94" s="351"/>
      <c r="Y94" s="1"/>
      <c r="Z94" s="1"/>
      <c r="AA94" s="1"/>
      <c r="AB94" s="1"/>
      <c r="AC94" s="1"/>
      <c r="AD94" s="1"/>
    </row>
    <row r="95" spans="1:30" x14ac:dyDescent="0.2">
      <c r="A95" s="673"/>
      <c r="B95" s="1739"/>
      <c r="C95" s="1663" t="s">
        <v>245</v>
      </c>
      <c r="D95" s="1656"/>
      <c r="E95" s="795">
        <f>IF(P58="",5,P58)</f>
        <v>5</v>
      </c>
      <c r="F95" s="794" t="str">
        <f>IF(P58="","assumed (no input given)","m")</f>
        <v>m</v>
      </c>
      <c r="G95" s="1209"/>
      <c r="H95" s="674"/>
      <c r="I95" s="796"/>
      <c r="J95" s="797"/>
      <c r="K95" s="790"/>
      <c r="L95" s="761"/>
      <c r="M95" s="798"/>
      <c r="N95" s="774"/>
      <c r="O95" s="750"/>
      <c r="P95" s="1215" t="s">
        <v>217</v>
      </c>
      <c r="Q95" s="1214"/>
      <c r="R95" s="1214"/>
      <c r="S95" s="1214"/>
      <c r="T95" s="1214"/>
      <c r="U95" s="1214"/>
      <c r="V95" s="679"/>
      <c r="W95" s="681"/>
      <c r="X95" s="351"/>
      <c r="Y95" s="1"/>
      <c r="Z95" s="1"/>
      <c r="AA95" s="1"/>
      <c r="AB95" s="1"/>
      <c r="AC95" s="1"/>
      <c r="AD95" s="1"/>
    </row>
    <row r="96" spans="1:30" x14ac:dyDescent="0.2">
      <c r="A96" s="673"/>
      <c r="B96" s="1694" t="s">
        <v>135</v>
      </c>
      <c r="C96" s="1740" t="str">
        <f>IF(E91="?","",IF(OR(E94&gt;46*E91^0.18,E94&gt;63*E91^0.06)," Tunnel span outside limit",IF(OR(E95&gt;46*F93^0.18,E95&gt;63*F93^0.06)," Wall height outside limit",IF(E91&lt;0.01,"Potential limitations when Q &lt; 0.01",IF(OR(P41="h",P41="i")," Potential limitations for squeezing ground",IF(P39="e"," Gushing; use of shotcrete may be difficult",IF(OR(P39="f",P39="g")," High water inflow: The use of shotcrete is difficult/impossible",IF(OR(P41="j",P41="k",P41="l",P41="m",P41="n",P41="o",P41="p")," Weakness zones may need further evaluations",""))))))))</f>
        <v/>
      </c>
      <c r="D96" s="1740"/>
      <c r="E96" s="1740"/>
      <c r="F96" s="1740"/>
      <c r="G96" s="1741"/>
      <c r="H96" s="674"/>
      <c r="I96" s="796"/>
      <c r="J96" s="797"/>
      <c r="K96" s="790"/>
      <c r="L96" s="761"/>
      <c r="M96" s="798"/>
      <c r="N96" s="774"/>
      <c r="O96" s="750"/>
      <c r="P96" s="682"/>
      <c r="Q96" s="1210"/>
      <c r="R96" s="1210" t="s">
        <v>256</v>
      </c>
      <c r="S96" s="763" t="s">
        <v>183</v>
      </c>
      <c r="T96" s="1147">
        <v>40</v>
      </c>
      <c r="U96" s="1141" t="s">
        <v>813</v>
      </c>
      <c r="V96" s="1142"/>
      <c r="W96" s="934"/>
      <c r="X96" s="351"/>
      <c r="Y96" s="1"/>
      <c r="Z96" s="1"/>
      <c r="AA96" s="1"/>
      <c r="AB96" s="1"/>
      <c r="AC96" s="1"/>
      <c r="AD96" s="1"/>
    </row>
    <row r="97" spans="1:30" ht="15" thickBot="1" x14ac:dyDescent="0.25">
      <c r="A97" s="673"/>
      <c r="B97" s="1696"/>
      <c r="C97" s="1742"/>
      <c r="D97" s="1742"/>
      <c r="E97" s="1742"/>
      <c r="F97" s="1742"/>
      <c r="G97" s="1743"/>
      <c r="H97" s="752"/>
      <c r="I97" s="796"/>
      <c r="J97" s="974"/>
      <c r="K97" s="799"/>
      <c r="L97" s="761"/>
      <c r="M97" s="798"/>
      <c r="N97" s="750"/>
      <c r="O97" s="750"/>
      <c r="P97" s="692"/>
      <c r="Q97" s="1249" t="s">
        <v>168</v>
      </c>
      <c r="R97" s="766">
        <f>T96</f>
        <v>40</v>
      </c>
      <c r="S97" s="767" t="s">
        <v>58</v>
      </c>
      <c r="T97" s="1148">
        <v>10</v>
      </c>
      <c r="U97" s="1143" t="s">
        <v>814</v>
      </c>
      <c r="V97" s="1144"/>
      <c r="W97" s="935"/>
      <c r="X97" s="351"/>
      <c r="Y97" s="1"/>
      <c r="Z97" s="1"/>
      <c r="AA97" s="1"/>
      <c r="AB97" s="1"/>
      <c r="AC97" s="1"/>
      <c r="AD97" s="1"/>
    </row>
    <row r="98" spans="1:30" x14ac:dyDescent="0.2">
      <c r="A98" s="673"/>
      <c r="B98" s="800"/>
      <c r="C98" s="1744" t="s">
        <v>412</v>
      </c>
      <c r="D98" s="1745"/>
      <c r="E98" s="801">
        <f>IF(E91="?","?",IF(E91&lt;1,"",25*LOG(E91)))</f>
        <v>12.962848496947188</v>
      </c>
      <c r="F98" s="802" t="s">
        <v>414</v>
      </c>
      <c r="G98" s="803"/>
      <c r="H98" s="752"/>
      <c r="I98" s="796"/>
      <c r="J98" s="974"/>
      <c r="K98" s="799"/>
      <c r="L98" s="761"/>
      <c r="M98" s="798"/>
      <c r="N98" s="750"/>
      <c r="O98" s="750"/>
      <c r="P98" s="692"/>
      <c r="Q98" s="1249" t="s">
        <v>168</v>
      </c>
      <c r="R98" s="766">
        <f>T97</f>
        <v>10</v>
      </c>
      <c r="S98" s="767" t="s">
        <v>58</v>
      </c>
      <c r="T98" s="1148">
        <v>1</v>
      </c>
      <c r="U98" s="1193" t="s">
        <v>212</v>
      </c>
      <c r="V98" s="1144"/>
      <c r="W98" s="935"/>
      <c r="X98" s="351"/>
      <c r="Y98" s="1"/>
      <c r="Z98" s="1"/>
      <c r="AA98" s="1"/>
      <c r="AB98" s="1"/>
      <c r="AC98" s="1"/>
      <c r="AD98" s="1"/>
    </row>
    <row r="99" spans="1:30" x14ac:dyDescent="0.2">
      <c r="A99" s="673"/>
      <c r="B99" s="674"/>
      <c r="C99" s="674"/>
      <c r="D99" s="674"/>
      <c r="E99" s="674"/>
      <c r="F99" s="674"/>
      <c r="G99" s="674"/>
      <c r="H99" s="750"/>
      <c r="I99" s="796"/>
      <c r="J99" s="974"/>
      <c r="K99" s="799"/>
      <c r="L99" s="761"/>
      <c r="M99" s="798"/>
      <c r="N99" s="750"/>
      <c r="O99" s="750"/>
      <c r="P99" s="692"/>
      <c r="Q99" s="1249" t="s">
        <v>168</v>
      </c>
      <c r="R99" s="766">
        <f>T98</f>
        <v>1</v>
      </c>
      <c r="S99" s="767" t="s">
        <v>58</v>
      </c>
      <c r="T99" s="1148">
        <v>0.4</v>
      </c>
      <c r="U99" s="1143" t="s">
        <v>815</v>
      </c>
      <c r="V99" s="1144"/>
      <c r="W99" s="935"/>
      <c r="X99" s="351"/>
      <c r="Y99" s="1"/>
      <c r="Z99" s="1"/>
      <c r="AA99" s="1"/>
      <c r="AB99" s="1"/>
      <c r="AC99" s="1"/>
      <c r="AD99" s="1"/>
    </row>
    <row r="100" spans="1:30" ht="13.9" customHeight="1" x14ac:dyDescent="0.2">
      <c r="A100" s="804"/>
      <c r="B100" s="1207"/>
      <c r="C100" s="1727"/>
      <c r="D100" s="1727"/>
      <c r="E100" s="1727"/>
      <c r="F100" s="805"/>
      <c r="G100" s="1728" t="s">
        <v>755</v>
      </c>
      <c r="H100" s="1729"/>
      <c r="I100" s="806"/>
      <c r="J100" s="807"/>
      <c r="K100" s="807"/>
      <c r="L100" s="807"/>
      <c r="M100" s="807"/>
      <c r="N100" s="807"/>
      <c r="O100" s="750"/>
      <c r="P100" s="692"/>
      <c r="Q100" s="1249" t="s">
        <v>168</v>
      </c>
      <c r="R100" s="766">
        <f>T99</f>
        <v>0.4</v>
      </c>
      <c r="S100" s="767" t="s">
        <v>58</v>
      </c>
      <c r="T100" s="1148">
        <v>0.1</v>
      </c>
      <c r="U100" s="1143" t="s">
        <v>825</v>
      </c>
      <c r="V100" s="1144"/>
      <c r="W100" s="935"/>
      <c r="X100" s="351"/>
      <c r="Y100" s="1"/>
      <c r="Z100" s="1"/>
      <c r="AA100" s="1"/>
      <c r="AB100" s="1"/>
      <c r="AC100" s="1"/>
      <c r="AD100" s="1"/>
    </row>
    <row r="101" spans="1:30" ht="15" thickBot="1" x14ac:dyDescent="0.25">
      <c r="A101" s="1730" t="s">
        <v>209</v>
      </c>
      <c r="B101" s="1730"/>
      <c r="C101" s="1730"/>
      <c r="D101" s="1730"/>
      <c r="E101" s="1730"/>
      <c r="F101" s="1730"/>
      <c r="G101" s="808"/>
      <c r="H101" s="679"/>
      <c r="I101" s="1731" t="s">
        <v>602</v>
      </c>
      <c r="J101" s="1731"/>
      <c r="K101" s="1731"/>
      <c r="L101" s="1731"/>
      <c r="M101" s="1731"/>
      <c r="N101" s="1732"/>
      <c r="O101" s="752"/>
      <c r="P101" s="706"/>
      <c r="Q101" s="1251" t="s">
        <v>168</v>
      </c>
      <c r="R101" s="792">
        <f>T100</f>
        <v>0.1</v>
      </c>
      <c r="S101" s="793" t="s">
        <v>58</v>
      </c>
      <c r="T101" s="1149">
        <v>0.01</v>
      </c>
      <c r="U101" s="1145" t="s">
        <v>819</v>
      </c>
      <c r="V101" s="1146"/>
      <c r="W101" s="936"/>
      <c r="X101" s="351"/>
      <c r="Y101" s="1"/>
      <c r="Z101" s="1"/>
      <c r="AA101" s="1"/>
      <c r="AB101" s="354"/>
      <c r="AC101" s="1"/>
      <c r="AD101" s="1"/>
    </row>
    <row r="102" spans="1:30" ht="15" thickBot="1" x14ac:dyDescent="0.25">
      <c r="A102" s="1733" t="s">
        <v>125</v>
      </c>
      <c r="B102" s="1734"/>
      <c r="C102" s="1734"/>
      <c r="D102" s="1735"/>
      <c r="E102" s="271" t="s">
        <v>126</v>
      </c>
      <c r="F102" s="1736" t="s">
        <v>342</v>
      </c>
      <c r="G102" s="1737"/>
      <c r="H102" s="679"/>
      <c r="I102" s="1733" t="s">
        <v>125</v>
      </c>
      <c r="J102" s="1734"/>
      <c r="K102" s="1735"/>
      <c r="L102" s="1216" t="s">
        <v>126</v>
      </c>
      <c r="M102" s="1216" t="s">
        <v>342</v>
      </c>
      <c r="N102" s="1217"/>
      <c r="O102" s="750"/>
      <c r="P102" s="681"/>
      <c r="Q102" s="810"/>
      <c r="R102" s="810"/>
      <c r="S102" s="681"/>
      <c r="T102" s="681"/>
      <c r="U102" s="681"/>
      <c r="V102" s="681"/>
      <c r="W102" s="681"/>
      <c r="X102" s="351"/>
      <c r="Y102" s="1"/>
      <c r="Z102" s="1"/>
      <c r="AA102" s="1"/>
      <c r="AB102" s="1"/>
      <c r="AC102" s="1"/>
      <c r="AD102" s="1"/>
    </row>
    <row r="103" spans="1:30" ht="15" thickTop="1" x14ac:dyDescent="0.2">
      <c r="A103" s="1716" t="s">
        <v>162</v>
      </c>
      <c r="B103" s="1717"/>
      <c r="C103" s="1718" t="s">
        <v>136</v>
      </c>
      <c r="D103" s="1719"/>
      <c r="E103" s="689">
        <f>IF(P13="",100,IF(P13="a",'Parameter tables'!L6,IF(P13="b",'Parameter tables'!L7,IF(P13="c",'Parameter tables'!L8,IF(P13="d",'Parameter tables'!L9,IF(P13="e",'Parameter tables'!L10,IF(P13="f",'Parameter tables'!L11,IF(P13="g",'Parameter tables'!L12,IF(P13="h",'Parameter tables'!L13,IF(P13="i",'Parameter tables'!L14,""))))))))))</f>
        <v>87.5</v>
      </c>
      <c r="F103" s="738" t="str">
        <f>IF(P13="","MPa  (common value)","MPa")</f>
        <v>MPa</v>
      </c>
      <c r="G103" s="736"/>
      <c r="H103" s="679"/>
      <c r="I103" s="1720" t="s">
        <v>169</v>
      </c>
      <c r="J103" s="1677"/>
      <c r="K103" s="1245" t="s">
        <v>160</v>
      </c>
      <c r="L103" s="811" t="str">
        <f>IF(AND(P41="j",P47=""),1,IF(AND(P41="k",P47=""),L115,IF(AND(P41="l",P47=""),L115,IF(AND(P41="m",P47=""),L115,IF(AND(P41="n",P47=""),L115,IF(AND(P41="o",P47=""),L115,IF(AND(P41="p",P47=""),L115,IF(AND(P41="q",P47=""),L115,IF(P47="","-",P47)))))))))</f>
        <v>-</v>
      </c>
      <c r="M103" s="740" t="s">
        <v>148</v>
      </c>
      <c r="N103" s="812"/>
      <c r="O103" s="750"/>
      <c r="P103" s="1215" t="s">
        <v>210</v>
      </c>
      <c r="Q103" s="715"/>
      <c r="R103" s="715"/>
      <c r="S103" s="674"/>
      <c r="T103" s="674"/>
      <c r="U103" s="679"/>
      <c r="V103" s="679"/>
      <c r="W103" s="1215"/>
      <c r="X103" s="355"/>
      <c r="Y103" s="355"/>
      <c r="Z103" s="356"/>
      <c r="AA103" s="1"/>
      <c r="AB103" s="1"/>
      <c r="AC103" s="1"/>
      <c r="AD103" s="1"/>
    </row>
    <row r="104" spans="1:30" ht="13.9" customHeight="1" x14ac:dyDescent="0.2">
      <c r="A104" s="1657" t="s">
        <v>155</v>
      </c>
      <c r="B104" s="1658"/>
      <c r="C104" s="1661" t="s">
        <v>62</v>
      </c>
      <c r="D104" s="1662"/>
      <c r="E104" s="813">
        <f>E77</f>
        <v>1</v>
      </c>
      <c r="F104" s="981" t="str">
        <f>F77</f>
        <v/>
      </c>
      <c r="G104" s="814"/>
      <c r="H104" s="679"/>
      <c r="I104" s="1721" t="s">
        <v>161</v>
      </c>
      <c r="J104" s="1722"/>
      <c r="K104" s="1243" t="s">
        <v>462</v>
      </c>
      <c r="L104" s="815" t="str">
        <f>IF(L103="-","-",IF(P45="",'Parameter tables'!L188,IF(P45="a",'Parameter tables'!L87,IF(P45="b",'Parameter tables'!L88,IF(P45="c",'Parameter tables'!L89,IF(P45="d",'Parameter tables'!L90,IF(P45="e",'Parameter tables'!L91,"?")))))))</f>
        <v>-</v>
      </c>
      <c r="M104" s="816" t="s">
        <v>140</v>
      </c>
      <c r="N104" s="812"/>
      <c r="O104" s="750"/>
      <c r="P104" s="682"/>
      <c r="Q104" s="1210"/>
      <c r="R104" s="1210" t="s">
        <v>351</v>
      </c>
      <c r="S104" s="684" t="s">
        <v>184</v>
      </c>
      <c r="T104" s="1150">
        <v>4</v>
      </c>
      <c r="U104" s="1134" t="s">
        <v>826</v>
      </c>
      <c r="V104" s="1135"/>
      <c r="W104" s="937"/>
      <c r="X104" s="391"/>
      <c r="Y104" s="356"/>
      <c r="Z104" s="356"/>
      <c r="AA104" s="347"/>
      <c r="AB104" s="1"/>
      <c r="AC104" s="1"/>
      <c r="AD104" s="1"/>
    </row>
    <row r="105" spans="1:30" x14ac:dyDescent="0.2">
      <c r="A105" s="1672"/>
      <c r="B105" s="1673"/>
      <c r="C105" s="1723" t="s">
        <v>69</v>
      </c>
      <c r="D105" s="1653"/>
      <c r="E105" s="725">
        <f>E78</f>
        <v>1</v>
      </c>
      <c r="F105" s="719" t="str">
        <f>F78</f>
        <v/>
      </c>
      <c r="G105" s="777"/>
      <c r="H105" s="679"/>
      <c r="I105" s="1714"/>
      <c r="J105" s="1715"/>
      <c r="K105" s="1244" t="s">
        <v>462</v>
      </c>
      <c r="L105" s="817" t="str">
        <f>IF(L103="-","-",IF(P46="",'Parameter tables'!L188,IF(P46="a",'Parameter tables'!L88,IF(P46="b",'Parameter tables'!L89,IF(P46="c",'Parameter tables'!L90,IF(P46="d",'Parameter tables'!L91,IF(P46="e",'Parameter tables'!L92,"?")))))))</f>
        <v>-</v>
      </c>
      <c r="M105" s="764" t="s">
        <v>141</v>
      </c>
      <c r="N105" s="818"/>
      <c r="O105" s="750"/>
      <c r="P105" s="692"/>
      <c r="Q105" s="1249" t="s">
        <v>211</v>
      </c>
      <c r="R105" s="1250">
        <f>T104</f>
        <v>4</v>
      </c>
      <c r="S105" s="693" t="s">
        <v>157</v>
      </c>
      <c r="T105" s="1132">
        <v>10</v>
      </c>
      <c r="U105" s="1136" t="s">
        <v>538</v>
      </c>
      <c r="V105" s="1137"/>
      <c r="W105" s="938"/>
      <c r="X105" s="391"/>
      <c r="Y105" s="356"/>
      <c r="Z105" s="356"/>
      <c r="AA105" s="347"/>
      <c r="AB105" s="1"/>
      <c r="AC105" s="1"/>
      <c r="AD105" s="1"/>
    </row>
    <row r="106" spans="1:30" x14ac:dyDescent="0.2">
      <c r="A106" s="1659"/>
      <c r="B106" s="1660"/>
      <c r="C106" s="1663" t="s">
        <v>321</v>
      </c>
      <c r="D106" s="1656"/>
      <c r="E106" s="819">
        <f>IF(OR(P31="i",P31="k",P31="m",P31="o"),1,E104*E105)</f>
        <v>1</v>
      </c>
      <c r="F106" s="1724" t="str">
        <f>IF(OR(P31="i",P31="k",P31="m",P31="o"),"for filled joints, jR = 1","")</f>
        <v/>
      </c>
      <c r="G106" s="1725"/>
      <c r="H106" s="679"/>
      <c r="I106" s="1678" t="s">
        <v>863</v>
      </c>
      <c r="J106" s="1726"/>
      <c r="K106" s="1210" t="s">
        <v>862</v>
      </c>
      <c r="L106" s="811" t="str">
        <f>IF(OR(L103=0,L103="-"),"",IF(OR(E119="?",E125="-"),"?",E119/E125))</f>
        <v/>
      </c>
      <c r="M106" s="740"/>
      <c r="N106" s="820"/>
      <c r="O106" s="750"/>
      <c r="P106" s="692"/>
      <c r="Q106" s="1249" t="s">
        <v>211</v>
      </c>
      <c r="R106" s="1250">
        <f>T105</f>
        <v>10</v>
      </c>
      <c r="S106" s="693" t="s">
        <v>157</v>
      </c>
      <c r="T106" s="1132">
        <v>40</v>
      </c>
      <c r="U106" s="1194" t="s">
        <v>212</v>
      </c>
      <c r="V106" s="1137"/>
      <c r="W106" s="939"/>
      <c r="X106" s="391"/>
      <c r="Y106" s="356"/>
      <c r="Z106" s="356"/>
      <c r="AA106" s="347"/>
      <c r="AB106" s="1"/>
      <c r="AC106" s="1"/>
      <c r="AD106" s="1"/>
    </row>
    <row r="107" spans="1:30" ht="13.9" customHeight="1" x14ac:dyDescent="0.2">
      <c r="A107" s="1657" t="s">
        <v>154</v>
      </c>
      <c r="B107" s="1658"/>
      <c r="C107" s="1674" t="s">
        <v>76</v>
      </c>
      <c r="D107" s="1669"/>
      <c r="E107" s="699">
        <f>IF(P31="",1,IF(P31="a",'Parameter tables'!L111,IF(P31="b",'Parameter tables'!L112,IF(P31="c",'Parameter tables'!L113,IF(P31="d",'Parameter tables'!L114,IF(P31="e",'Parameter tables'!L115,IF(P31="f",'Parameter tables'!L116,"")))))))</f>
        <v>1</v>
      </c>
      <c r="F107" s="740" t="str">
        <f>IF(P31="","(common value)","")</f>
        <v/>
      </c>
      <c r="G107" s="777"/>
      <c r="H107" s="679"/>
      <c r="I107" s="1710" t="s">
        <v>185</v>
      </c>
      <c r="J107" s="1711"/>
      <c r="K107" s="1243" t="s">
        <v>461</v>
      </c>
      <c r="L107" s="815" t="str">
        <f>IF(OR(L103=0,L103="-"),"",IF(OR(E119="?",E125="-"),"-",E119/E125))</f>
        <v/>
      </c>
      <c r="M107" s="816" t="s">
        <v>140</v>
      </c>
      <c r="N107" s="821"/>
      <c r="O107" s="750"/>
      <c r="P107" s="692"/>
      <c r="Q107" s="1249" t="s">
        <v>211</v>
      </c>
      <c r="R107" s="1250">
        <f>T106</f>
        <v>40</v>
      </c>
      <c r="S107" s="693" t="s">
        <v>157</v>
      </c>
      <c r="T107" s="1132">
        <v>100</v>
      </c>
      <c r="U107" s="1136" t="s">
        <v>539</v>
      </c>
      <c r="V107" s="1137"/>
      <c r="W107" s="939"/>
      <c r="X107" s="391"/>
      <c r="Y107" s="356"/>
      <c r="Z107" s="356"/>
      <c r="AA107" s="347"/>
      <c r="AB107" s="1"/>
      <c r="AC107" s="1"/>
      <c r="AD107" s="1"/>
    </row>
    <row r="108" spans="1:30" x14ac:dyDescent="0.2">
      <c r="A108" s="1672"/>
      <c r="B108" s="1673"/>
      <c r="C108" s="1675"/>
      <c r="D108" s="1641"/>
      <c r="E108" s="703" t="str">
        <f>IF(P31="","",IF(P31="h",'Parameter tables'!L119,IF(P31="j",'Parameter tables'!L120,IF(P31="l",'Parameter tables'!L121,IF(P31="n",'Parameter tables'!L122,"")))))</f>
        <v/>
      </c>
      <c r="F108" s="728" t="str">
        <f>IF(E108="","","filling &lt; 5mm")</f>
        <v/>
      </c>
      <c r="G108" s="777"/>
      <c r="H108" s="679"/>
      <c r="I108" s="822"/>
      <c r="J108" s="823" t="s">
        <v>186</v>
      </c>
      <c r="K108" s="1244" t="s">
        <v>461</v>
      </c>
      <c r="L108" s="817" t="str">
        <f>IF(OR(L103=0,L103="-"),"",IF(OR(E119="?",E125="-"),"-",5*E119/E125))</f>
        <v/>
      </c>
      <c r="M108" s="764" t="s">
        <v>141</v>
      </c>
      <c r="N108" s="824"/>
      <c r="O108" s="752"/>
      <c r="P108" s="692"/>
      <c r="Q108" s="1249" t="s">
        <v>211</v>
      </c>
      <c r="R108" s="1250">
        <f>T107</f>
        <v>100</v>
      </c>
      <c r="S108" s="693" t="s">
        <v>157</v>
      </c>
      <c r="T108" s="1132">
        <v>400</v>
      </c>
      <c r="U108" s="1136" t="s">
        <v>827</v>
      </c>
      <c r="V108" s="1137"/>
      <c r="W108" s="939"/>
      <c r="X108" s="391"/>
      <c r="Y108" s="356"/>
      <c r="Z108" s="356"/>
      <c r="AA108" s="347"/>
      <c r="AB108" s="1"/>
      <c r="AC108" s="1"/>
      <c r="AD108" s="1"/>
    </row>
    <row r="109" spans="1:30" x14ac:dyDescent="0.2">
      <c r="A109" s="1672"/>
      <c r="B109" s="1673"/>
      <c r="C109" s="1676"/>
      <c r="D109" s="1677"/>
      <c r="E109" s="703" t="str">
        <f>IF(P31="","",IF(P31="i",'Parameter tables'!M119,IF(P31="k",'Parameter tables'!M120,IF(P31="m",'Parameter tables'!M121,IF(P31="o",'Parameter tables'!M122,IF(P31="o",'Parameter tables'!M122,""))))))</f>
        <v/>
      </c>
      <c r="F109" s="728" t="str">
        <f>IF(E109="","","filling &gt; 5mm")</f>
        <v/>
      </c>
      <c r="G109" s="777"/>
      <c r="H109" s="679"/>
      <c r="I109" s="1712" t="s">
        <v>187</v>
      </c>
      <c r="J109" s="1713"/>
      <c r="K109" s="975" t="s">
        <v>781</v>
      </c>
      <c r="L109" s="1196" t="str">
        <f>IF(OR(L103=0,L103="-"),"",IF(E$119="?","",IF(L111="no",L103/E$115*L104/E$131,"")))</f>
        <v/>
      </c>
      <c r="M109" s="816" t="s">
        <v>140</v>
      </c>
      <c r="N109" s="1198" t="str">
        <f>IF(L109&lt;&gt;"","( =Sr roof )","")</f>
        <v/>
      </c>
      <c r="O109" s="825"/>
      <c r="P109" s="706"/>
      <c r="Q109" s="1211"/>
      <c r="R109" s="1211" t="s">
        <v>351</v>
      </c>
      <c r="S109" s="707" t="s">
        <v>183</v>
      </c>
      <c r="T109" s="708">
        <f>T108</f>
        <v>400</v>
      </c>
      <c r="U109" s="1139" t="s">
        <v>828</v>
      </c>
      <c r="V109" s="1140"/>
      <c r="W109" s="940"/>
      <c r="X109" s="392"/>
      <c r="Y109" s="356"/>
      <c r="Z109" s="347"/>
      <c r="AA109" s="347"/>
      <c r="AB109" s="1"/>
      <c r="AC109" s="1"/>
      <c r="AD109" s="1"/>
    </row>
    <row r="110" spans="1:30" x14ac:dyDescent="0.2">
      <c r="A110" s="1659"/>
      <c r="B110" s="1660"/>
      <c r="C110" s="1663" t="s">
        <v>335</v>
      </c>
      <c r="D110" s="1656"/>
      <c r="E110" s="712">
        <f>SUM(E107:E109)</f>
        <v>1</v>
      </c>
      <c r="F110" s="1244"/>
      <c r="G110" s="736"/>
      <c r="H110" s="679"/>
      <c r="I110" s="1714"/>
      <c r="J110" s="1715"/>
      <c r="K110" s="976" t="s">
        <v>782</v>
      </c>
      <c r="L110" s="1197" t="str">
        <f>IF(OR(L103=0,L103="-"),"",IF(E$119="?","",IF(L112="no",L103/E115*L105/E$131,"")))</f>
        <v/>
      </c>
      <c r="M110" s="764" t="s">
        <v>141</v>
      </c>
      <c r="N110" s="1198" t="str">
        <f>IF(L110&lt;&gt;"","( =Sr wall )","")</f>
        <v/>
      </c>
      <c r="O110" s="825"/>
      <c r="P110" s="676"/>
      <c r="Q110" s="711"/>
      <c r="R110" s="711"/>
      <c r="S110" s="676"/>
      <c r="T110" s="676"/>
      <c r="U110" s="676"/>
      <c r="V110" s="676"/>
      <c r="W110" s="676"/>
      <c r="X110" s="353"/>
      <c r="Y110" s="1"/>
      <c r="Z110" s="1"/>
      <c r="AA110" s="1"/>
      <c r="AB110" s="1"/>
      <c r="AC110" s="1"/>
      <c r="AD110" s="1"/>
    </row>
    <row r="111" spans="1:30" x14ac:dyDescent="0.2">
      <c r="A111" s="1678" t="s">
        <v>451</v>
      </c>
      <c r="B111" s="1679"/>
      <c r="C111" s="1679"/>
      <c r="D111" s="1662"/>
      <c r="E111" s="720">
        <f>IF(P35="",1,IF(P35="a",'Parameter tables'!L126,IF(P35="b",'Parameter tables'!L127,IF(P35="c",'Parameter tables'!L128,IF(P35="d",'Parameter tables'!L129,IF(P35="e",'Parameter tables'!L130,IF(P35="f",'Parameter tables'!L131,IF(P35="g",'Parameter tables'!L132,"?"))))))))</f>
        <v>1.5</v>
      </c>
      <c r="F111" s="740" t="str">
        <f>IF(P35="","(common value)","")</f>
        <v/>
      </c>
      <c r="G111" s="777"/>
      <c r="H111" s="679"/>
      <c r="I111" s="1657" t="s">
        <v>199</v>
      </c>
      <c r="J111" s="1658"/>
      <c r="K111" s="813" t="s">
        <v>146</v>
      </c>
      <c r="L111" s="977" t="str">
        <f>IF(OR(L103="-",L103="",L103=0),"-",IF(L103&gt;E123,"yes","no"))</f>
        <v>-</v>
      </c>
      <c r="M111" s="769" t="s">
        <v>140</v>
      </c>
      <c r="N111" s="820"/>
      <c r="O111" s="825"/>
      <c r="P111" s="676"/>
      <c r="Q111" s="711"/>
      <c r="R111" s="711"/>
      <c r="S111" s="676"/>
      <c r="T111" s="676"/>
      <c r="U111" s="676"/>
      <c r="V111" s="676"/>
      <c r="W111" s="676"/>
      <c r="X111" s="353"/>
      <c r="Y111" s="1"/>
      <c r="Z111" s="1"/>
      <c r="AA111" s="1"/>
      <c r="AB111" s="1"/>
      <c r="AC111" s="1"/>
      <c r="AD111" s="1"/>
    </row>
    <row r="112" spans="1:30" x14ac:dyDescent="0.2">
      <c r="A112" s="1680" t="s">
        <v>452</v>
      </c>
      <c r="B112" s="1655"/>
      <c r="C112" s="1655"/>
      <c r="D112" s="1656"/>
      <c r="E112" s="795">
        <f>E106*E111/E110</f>
        <v>1.5</v>
      </c>
      <c r="F112" s="1208"/>
      <c r="G112" s="1209"/>
      <c r="H112" s="679"/>
      <c r="I112" s="1659"/>
      <c r="J112" s="1660"/>
      <c r="K112" s="795" t="s">
        <v>147</v>
      </c>
      <c r="L112" s="707" t="str">
        <f>IF(OR(L103="-",L103="",L103=0),"-",IF(L103&gt;E124,"yes","no"))</f>
        <v>-</v>
      </c>
      <c r="M112" s="764" t="s">
        <v>141</v>
      </c>
      <c r="N112" s="818"/>
      <c r="O112" s="825"/>
      <c r="P112" s="1215" t="s">
        <v>424</v>
      </c>
      <c r="Q112" s="826"/>
      <c r="R112" s="826"/>
      <c r="S112" s="1214"/>
      <c r="T112" s="1214"/>
      <c r="U112" s="672"/>
      <c r="V112" s="672"/>
      <c r="W112" s="674"/>
      <c r="X112" s="353"/>
      <c r="Y112" s="1"/>
      <c r="Z112" s="1"/>
      <c r="AA112" s="1"/>
      <c r="AB112" s="1"/>
      <c r="AC112" s="1"/>
      <c r="AD112" s="1"/>
    </row>
    <row r="113" spans="1:30" ht="14.25" customHeight="1" x14ac:dyDescent="0.2">
      <c r="A113" s="1681" t="s">
        <v>453</v>
      </c>
      <c r="B113" s="1684"/>
      <c r="C113" s="1684"/>
      <c r="D113" s="1682"/>
      <c r="E113" s="827">
        <f>'Parameter tables'!M72</f>
        <v>36</v>
      </c>
      <c r="F113" s="828"/>
      <c r="G113" s="829"/>
      <c r="H113" s="679"/>
      <c r="I113" s="1694" t="s">
        <v>596</v>
      </c>
      <c r="J113" s="1695"/>
      <c r="K113" s="1698" t="str">
        <f>IF(OR(E119="?",E134=""),"",IF(OR(P39="d",P39="e")," Use of shotcrete may be difficult",IF(OR(P39="f",P39="g")," Ground water inflow is outside limit of RMi support method",IF(P47&lt;&gt;""," Weakness zones may need further evaluations",IF(OR(P41="h",P41="i")," Squeezing may need further evaluations",IF(OR(E134&lt;0.01,E136&lt;E134^-1.3,E136&gt;600)," Beyond the limit of RMi/Gc support method",""))))))</f>
        <v/>
      </c>
      <c r="L113" s="1698"/>
      <c r="M113" s="1698"/>
      <c r="N113" s="1699"/>
      <c r="O113" s="825"/>
      <c r="P113" s="682"/>
      <c r="Q113" s="1210"/>
      <c r="R113" s="1210" t="s">
        <v>422</v>
      </c>
      <c r="S113" s="684" t="s">
        <v>183</v>
      </c>
      <c r="T113" s="830">
        <f>T114</f>
        <v>100</v>
      </c>
      <c r="U113" s="1134" t="s">
        <v>829</v>
      </c>
      <c r="V113" s="1135"/>
      <c r="W113" s="941"/>
      <c r="Y113" s="1"/>
      <c r="Z113" s="1"/>
      <c r="AA113" s="1"/>
      <c r="AB113" s="1"/>
      <c r="AC113" s="1"/>
      <c r="AD113" s="1"/>
    </row>
    <row r="114" spans="1:30" ht="15" customHeight="1" thickBot="1" x14ac:dyDescent="0.25">
      <c r="A114" s="1678" t="s">
        <v>454</v>
      </c>
      <c r="B114" s="1679"/>
      <c r="C114" s="1679"/>
      <c r="D114" s="1662"/>
      <c r="E114" s="813">
        <f>IF(AND(AA17="",AA18=""),"Vb=?",IF(AA17&lt;&gt;"",AA17,AA18))</f>
        <v>8.0000000000000002E-3</v>
      </c>
      <c r="F114" s="831" t="s">
        <v>138</v>
      </c>
      <c r="G114" s="814"/>
      <c r="H114" s="679"/>
      <c r="I114" s="1696"/>
      <c r="J114" s="1697"/>
      <c r="K114" s="1700"/>
      <c r="L114" s="1700"/>
      <c r="M114" s="1700"/>
      <c r="N114" s="1701"/>
      <c r="O114" s="825"/>
      <c r="P114" s="692"/>
      <c r="Q114" s="1249" t="s">
        <v>137</v>
      </c>
      <c r="R114" s="1250">
        <f>T115</f>
        <v>30</v>
      </c>
      <c r="S114" s="693" t="s">
        <v>80</v>
      </c>
      <c r="T114" s="1132">
        <v>100</v>
      </c>
      <c r="U114" s="1136" t="s">
        <v>830</v>
      </c>
      <c r="V114" s="1137"/>
      <c r="W114" s="942"/>
      <c r="X114" s="353"/>
      <c r="Y114" s="1"/>
      <c r="Z114" s="1"/>
      <c r="AA114" s="1"/>
      <c r="AB114" s="1"/>
      <c r="AC114" s="1"/>
      <c r="AD114" s="1"/>
    </row>
    <row r="115" spans="1:30" ht="14.25" customHeight="1" x14ac:dyDescent="0.2">
      <c r="A115" s="1680" t="s">
        <v>455</v>
      </c>
      <c r="B115" s="1655"/>
      <c r="C115" s="1655"/>
      <c r="D115" s="1656"/>
      <c r="E115" s="795">
        <f>IF(E114="Vb=?","Vb=?",E113*(E114^0.3333)/'Parameter tables'!M71)</f>
        <v>0.26670958846490406</v>
      </c>
      <c r="F115" s="1208" t="s">
        <v>148</v>
      </c>
      <c r="G115" s="1209"/>
      <c r="H115" s="679"/>
      <c r="I115" s="1702" t="s">
        <v>758</v>
      </c>
      <c r="J115" s="1703"/>
      <c r="K115" s="1703"/>
      <c r="L115" s="1706">
        <v>5</v>
      </c>
      <c r="M115" s="1708" t="s">
        <v>148</v>
      </c>
      <c r="N115" s="809"/>
      <c r="O115" s="825"/>
      <c r="P115" s="692"/>
      <c r="Q115" s="1249" t="s">
        <v>137</v>
      </c>
      <c r="R115" s="1250">
        <f>T116</f>
        <v>1</v>
      </c>
      <c r="S115" s="693" t="s">
        <v>80</v>
      </c>
      <c r="T115" s="1132">
        <v>30</v>
      </c>
      <c r="U115" s="1136" t="s">
        <v>831</v>
      </c>
      <c r="V115" s="1137"/>
      <c r="W115" s="942"/>
      <c r="X115" s="353"/>
      <c r="Y115" s="1"/>
      <c r="Z115" s="1"/>
      <c r="AA115" s="1"/>
      <c r="AB115" s="1"/>
      <c r="AC115" s="1"/>
      <c r="AD115" s="1"/>
    </row>
    <row r="116" spans="1:30" x14ac:dyDescent="0.2">
      <c r="A116" s="1678" t="s">
        <v>456</v>
      </c>
      <c r="B116" s="1679"/>
      <c r="C116" s="1679"/>
      <c r="D116" s="1662"/>
      <c r="E116" s="720">
        <f>IF(E114="Vb=?","Vb=?",0.2*SQRT(E112)*E114^(0.37*(E112)^-0.2))</f>
        <v>4.7168495002964765E-2</v>
      </c>
      <c r="F116" s="832"/>
      <c r="G116" s="777"/>
      <c r="H116" s="679"/>
      <c r="I116" s="1704"/>
      <c r="J116" s="1705"/>
      <c r="K116" s="1705"/>
      <c r="L116" s="1707"/>
      <c r="M116" s="1709"/>
      <c r="N116" s="833"/>
      <c r="O116" s="825"/>
      <c r="P116" s="692"/>
      <c r="Q116" s="1249" t="s">
        <v>137</v>
      </c>
      <c r="R116" s="1250">
        <f>T117</f>
        <v>0.03</v>
      </c>
      <c r="S116" s="693" t="s">
        <v>80</v>
      </c>
      <c r="T116" s="1132">
        <v>1</v>
      </c>
      <c r="U116" s="1136" t="s">
        <v>832</v>
      </c>
      <c r="V116" s="1137"/>
      <c r="W116" s="942"/>
      <c r="X116" s="353"/>
      <c r="Y116" s="1"/>
      <c r="Z116" s="1"/>
      <c r="AA116" s="1"/>
      <c r="AB116" s="1"/>
      <c r="AC116" s="1"/>
      <c r="AD116" s="1"/>
    </row>
    <row r="117" spans="1:30" x14ac:dyDescent="0.2">
      <c r="A117" s="1680" t="s">
        <v>457</v>
      </c>
      <c r="B117" s="1655"/>
      <c r="C117" s="1655"/>
      <c r="D117" s="1656"/>
      <c r="E117" s="795">
        <f>IF(E114="Vb=?","Vb=?",IF(E114=0,"Vb =?",(0.05/E115)^0.2))</f>
        <v>0.71546151036437977</v>
      </c>
      <c r="F117" s="1208"/>
      <c r="G117" s="1209"/>
      <c r="H117" s="679"/>
      <c r="I117" s="752"/>
      <c r="J117" s="752"/>
      <c r="K117" s="752"/>
      <c r="L117" s="752"/>
      <c r="M117" s="752"/>
      <c r="N117" s="752"/>
      <c r="O117" s="750"/>
      <c r="P117" s="692"/>
      <c r="Q117" s="1250" t="s">
        <v>137</v>
      </c>
      <c r="R117" s="1250">
        <f>T118</f>
        <v>1E-3</v>
      </c>
      <c r="S117" s="693" t="s">
        <v>80</v>
      </c>
      <c r="T117" s="1132">
        <v>0.03</v>
      </c>
      <c r="U117" s="1136" t="s">
        <v>833</v>
      </c>
      <c r="V117" s="1137"/>
      <c r="W117" s="942"/>
      <c r="X117" s="1"/>
      <c r="Y117" s="1"/>
      <c r="Z117" s="1"/>
      <c r="AA117" s="1"/>
      <c r="AB117" s="1"/>
      <c r="AC117" s="1"/>
      <c r="AD117" s="1"/>
    </row>
    <row r="118" spans="1:30" x14ac:dyDescent="0.2">
      <c r="A118" s="1681" t="s">
        <v>458</v>
      </c>
      <c r="B118" s="1684"/>
      <c r="C118" s="1684"/>
      <c r="D118" s="1682"/>
      <c r="E118" s="834">
        <f>'Parameter tables'!L144</f>
        <v>1</v>
      </c>
      <c r="F118" s="750"/>
      <c r="G118" s="835"/>
      <c r="H118" s="679"/>
      <c r="I118" s="752"/>
      <c r="J118" s="752"/>
      <c r="K118" s="845" t="s">
        <v>319</v>
      </c>
      <c r="L118" s="836"/>
      <c r="M118" s="752"/>
      <c r="N118" s="752"/>
      <c r="O118" s="750"/>
      <c r="P118" s="692"/>
      <c r="Q118" s="1250" t="s">
        <v>137</v>
      </c>
      <c r="R118" s="1218">
        <f>T119</f>
        <v>1.0000000000000001E-5</v>
      </c>
      <c r="S118" s="693" t="s">
        <v>80</v>
      </c>
      <c r="T118" s="1132">
        <v>1E-3</v>
      </c>
      <c r="U118" s="1136" t="s">
        <v>834</v>
      </c>
      <c r="V118" s="1137"/>
      <c r="W118" s="942"/>
      <c r="X118" s="353"/>
      <c r="Y118" s="1"/>
      <c r="Z118" s="1"/>
      <c r="AA118" s="1"/>
      <c r="AB118" s="1"/>
      <c r="AC118" s="1"/>
      <c r="AD118" s="1"/>
    </row>
    <row r="119" spans="1:30" ht="15" thickBot="1" x14ac:dyDescent="0.25">
      <c r="A119" s="1685" t="s">
        <v>559</v>
      </c>
      <c r="B119" s="1686"/>
      <c r="C119" s="1686"/>
      <c r="D119" s="1687"/>
      <c r="E119" s="837">
        <f>IF(E114="Vb=?","?",IF(E116&gt;E117,E117*E103,E116*E103*E118))</f>
        <v>4.1272433127594166</v>
      </c>
      <c r="F119" s="838" t="str">
        <f>IF(E119="?","",IF(E119&gt;T88,U88,IF(E119&gt;T89,U89,IF(E119&gt;T90,U90,IF(E119&gt;T91,U91,IF(E119&gt;T92,U92,U93))))))</f>
        <v>moderate</v>
      </c>
      <c r="G119" s="839"/>
      <c r="H119" s="679"/>
      <c r="I119" s="836"/>
      <c r="J119" s="673"/>
      <c r="K119" s="752"/>
      <c r="L119" s="840"/>
      <c r="M119" s="840"/>
      <c r="N119" s="752"/>
      <c r="O119" s="750"/>
      <c r="P119" s="706"/>
      <c r="Q119" s="1211"/>
      <c r="R119" s="1211" t="s">
        <v>422</v>
      </c>
      <c r="S119" s="841" t="s">
        <v>393</v>
      </c>
      <c r="T119" s="1133">
        <v>1.0000000000000001E-5</v>
      </c>
      <c r="U119" s="1138" t="s">
        <v>835</v>
      </c>
      <c r="V119" s="1133"/>
      <c r="W119" s="943"/>
      <c r="X119" s="353"/>
      <c r="Y119" s="1"/>
      <c r="Z119" s="1"/>
      <c r="AA119" s="1"/>
      <c r="AB119" s="1"/>
      <c r="AC119" s="1"/>
      <c r="AD119" s="1"/>
    </row>
    <row r="120" spans="1:30" x14ac:dyDescent="0.2">
      <c r="A120" s="673"/>
      <c r="B120" s="680"/>
      <c r="C120" s="752"/>
      <c r="D120" s="752"/>
      <c r="E120" s="752"/>
      <c r="F120" s="752"/>
      <c r="G120" s="752"/>
      <c r="H120" s="752"/>
      <c r="I120" s="840"/>
      <c r="J120" s="752"/>
      <c r="K120" s="752"/>
      <c r="L120" s="752"/>
      <c r="M120" s="750"/>
      <c r="N120" s="752"/>
      <c r="O120" s="750"/>
      <c r="P120" s="676"/>
      <c r="Q120" s="711"/>
      <c r="R120" s="711"/>
      <c r="S120" s="676"/>
      <c r="T120" s="676"/>
      <c r="U120" s="676"/>
      <c r="V120" s="676"/>
      <c r="W120" s="676"/>
      <c r="X120" s="353"/>
      <c r="Y120" s="1"/>
      <c r="Z120" s="1"/>
      <c r="AA120" s="1"/>
      <c r="AB120" s="1"/>
      <c r="AC120" s="1"/>
      <c r="AD120" s="1"/>
    </row>
    <row r="121" spans="1:30" ht="15" thickBot="1" x14ac:dyDescent="0.25">
      <c r="A121" s="1688" t="s">
        <v>357</v>
      </c>
      <c r="B121" s="1688"/>
      <c r="C121" s="1688"/>
      <c r="D121" s="1688"/>
      <c r="E121" s="1688"/>
      <c r="F121" s="1688"/>
      <c r="G121" s="1688"/>
      <c r="H121" s="679"/>
      <c r="I121" s="750"/>
      <c r="J121" s="750"/>
      <c r="K121" s="750"/>
      <c r="L121" s="842"/>
      <c r="M121" s="843"/>
      <c r="N121" s="844"/>
      <c r="O121" s="752"/>
      <c r="P121" s="673"/>
      <c r="Q121" s="790"/>
      <c r="R121" s="790"/>
      <c r="S121" s="790"/>
      <c r="T121" s="761"/>
      <c r="U121" s="846"/>
      <c r="V121" s="847"/>
      <c r="W121" s="679"/>
      <c r="X121" s="347"/>
      <c r="Y121" s="365"/>
      <c r="Z121" s="355"/>
      <c r="AA121" s="355"/>
      <c r="AB121" s="347"/>
      <c r="AC121" s="347"/>
      <c r="AD121" s="1"/>
    </row>
    <row r="122" spans="1:30" ht="13.9" customHeight="1" x14ac:dyDescent="0.2">
      <c r="A122" s="1689" t="s">
        <v>125</v>
      </c>
      <c r="B122" s="1690"/>
      <c r="C122" s="1690"/>
      <c r="D122" s="1691"/>
      <c r="E122" s="1213" t="s">
        <v>126</v>
      </c>
      <c r="F122" s="1692" t="s">
        <v>342</v>
      </c>
      <c r="G122" s="1693"/>
      <c r="H122" s="679"/>
      <c r="I122" s="1195"/>
      <c r="J122" s="752"/>
      <c r="K122" s="752"/>
      <c r="L122" s="842"/>
      <c r="M122" s="750"/>
      <c r="N122" s="752"/>
      <c r="O122" s="752"/>
      <c r="P122" s="752"/>
      <c r="Q122" s="752"/>
      <c r="R122" s="752"/>
      <c r="S122" s="752"/>
      <c r="T122" s="752"/>
      <c r="U122" s="752"/>
      <c r="V122" s="847"/>
      <c r="W122" s="848"/>
      <c r="X122" s="393"/>
      <c r="Y122" s="365"/>
      <c r="Z122" s="394"/>
      <c r="AA122" s="392"/>
      <c r="AB122" s="389"/>
      <c r="AC122" s="347"/>
      <c r="AD122" s="1"/>
    </row>
    <row r="123" spans="1:30" ht="13.9" customHeight="1" x14ac:dyDescent="0.2">
      <c r="A123" s="1678" t="s">
        <v>472</v>
      </c>
      <c r="B123" s="1662"/>
      <c r="C123" s="1679" t="s">
        <v>165</v>
      </c>
      <c r="D123" s="1662"/>
      <c r="E123" s="720">
        <f>IF(P57="",10,P57)</f>
        <v>10</v>
      </c>
      <c r="F123" s="794" t="str">
        <f>IF(P57="","assumed (no input given)","")</f>
        <v/>
      </c>
      <c r="G123" s="849"/>
      <c r="H123" s="850"/>
      <c r="I123" s="680"/>
      <c r="J123" s="752"/>
      <c r="K123" s="752"/>
      <c r="L123" s="842"/>
      <c r="M123" s="851"/>
      <c r="N123" s="752"/>
      <c r="O123" s="752"/>
      <c r="P123" s="752"/>
      <c r="Q123" s="752"/>
      <c r="R123" s="752"/>
      <c r="S123" s="752"/>
      <c r="T123" s="752"/>
      <c r="U123" s="752"/>
      <c r="V123" s="847"/>
      <c r="W123" s="848"/>
      <c r="X123" s="393"/>
      <c r="Y123" s="365"/>
      <c r="Z123" s="394"/>
      <c r="AA123" s="392"/>
      <c r="AB123" s="389"/>
      <c r="AC123" s="347"/>
      <c r="AD123" s="1"/>
    </row>
    <row r="124" spans="1:30" ht="13.9" customHeight="1" x14ac:dyDescent="0.2">
      <c r="A124" s="1680" t="s">
        <v>473</v>
      </c>
      <c r="B124" s="1656"/>
      <c r="C124" s="1663" t="s">
        <v>166</v>
      </c>
      <c r="D124" s="1656"/>
      <c r="E124" s="795">
        <f>IF(P58="",4,P58)</f>
        <v>5</v>
      </c>
      <c r="F124" s="738" t="str">
        <f>IF(P58="","assumed (no input given)","")</f>
        <v/>
      </c>
      <c r="G124" s="852"/>
      <c r="H124" s="750"/>
      <c r="I124" s="974"/>
      <c r="J124" s="974"/>
      <c r="K124" s="853"/>
      <c r="L124" s="854"/>
      <c r="M124" s="854"/>
      <c r="N124" s="854"/>
      <c r="O124" s="855"/>
      <c r="P124" s="789"/>
      <c r="Q124" s="1260"/>
      <c r="R124" s="1260"/>
      <c r="S124" s="790"/>
      <c r="T124" s="856"/>
      <c r="U124" s="857"/>
      <c r="V124" s="857"/>
      <c r="W124" s="848"/>
      <c r="X124" s="393"/>
      <c r="Y124" s="365"/>
      <c r="Z124" s="394"/>
      <c r="AA124" s="392"/>
      <c r="AB124" s="389"/>
      <c r="AC124" s="347"/>
      <c r="AD124" s="1"/>
    </row>
    <row r="125" spans="1:30" ht="13.9" customHeight="1" x14ac:dyDescent="0.2">
      <c r="A125" s="1681" t="s">
        <v>159</v>
      </c>
      <c r="B125" s="1682"/>
      <c r="C125" s="1683" t="s">
        <v>108</v>
      </c>
      <c r="D125" s="1682"/>
      <c r="E125" s="834">
        <f>IF(P39="",1,IF(P39="a",'Parameter tables'!L151,IF(P39="b",'Parameter tables'!L151,IF(P39="c",'Parameter tables'!L151,IF(P39="d",'Parameter tables'!L154,IF(P39="e",'Parameter tables'!L155,"?"))))))</f>
        <v>1</v>
      </c>
      <c r="F125" s="858" t="str">
        <f>IF(P39="","(common value)",IF(E125&gt;'Parameter tables'!L155,"Outside RMi support limit",""))</f>
        <v/>
      </c>
      <c r="G125" s="859"/>
      <c r="H125" s="750"/>
      <c r="I125" s="796"/>
      <c r="J125" s="750"/>
      <c r="K125" s="789"/>
      <c r="L125" s="790"/>
      <c r="M125" s="750"/>
      <c r="N125" s="723"/>
      <c r="O125" s="847"/>
      <c r="P125" s="679"/>
      <c r="Q125" s="757"/>
      <c r="R125" s="757"/>
      <c r="S125" s="679"/>
      <c r="T125" s="679"/>
      <c r="U125" s="790"/>
      <c r="V125" s="790"/>
      <c r="W125" s="679"/>
      <c r="X125" s="347"/>
      <c r="Y125" s="365"/>
      <c r="Z125" s="394"/>
      <c r="AA125" s="392"/>
      <c r="AB125" s="389"/>
      <c r="AC125" s="347"/>
      <c r="AD125" s="1"/>
    </row>
    <row r="126" spans="1:30" ht="13.9" customHeight="1" x14ac:dyDescent="0.2">
      <c r="A126" s="1668" t="s">
        <v>149</v>
      </c>
      <c r="B126" s="1669"/>
      <c r="C126" s="1661" t="s">
        <v>112</v>
      </c>
      <c r="D126" s="1662"/>
      <c r="E126" s="860">
        <f>IF(P41="",'Parameter tables'!L164,IF(P41="a",'Parameter tables'!L162,IF(P41="b",'Parameter tables'!L163,IF(P41="c",'Parameter tables'!L164,IF(P41="d",'Parameter tables'!L165,IF(P41="e",'Parameter tables'!L167,IF(P41="f",'Parameter tables'!L168,IF(P41="g",'Parameter tables'!L169,1))))))))</f>
        <v>1</v>
      </c>
      <c r="F126" s="740" t="str">
        <f>IF(P41="","(common value)","")</f>
        <v/>
      </c>
      <c r="G126" s="861"/>
      <c r="H126" s="750"/>
      <c r="I126" s="796"/>
      <c r="J126" s="750"/>
      <c r="K126" s="789"/>
      <c r="L126" s="790"/>
      <c r="M126" s="750"/>
      <c r="N126" s="723"/>
      <c r="O126" s="847"/>
      <c r="P126" s="672"/>
      <c r="Q126" s="862"/>
      <c r="R126" s="862"/>
      <c r="S126" s="672"/>
      <c r="T126" s="672"/>
      <c r="U126" s="672"/>
      <c r="V126" s="672"/>
      <c r="W126" s="672"/>
      <c r="X126" s="350"/>
      <c r="Y126" s="347"/>
      <c r="Z126" s="347"/>
      <c r="AA126" s="347"/>
      <c r="AB126" s="347"/>
      <c r="AC126" s="347"/>
      <c r="AD126" s="1"/>
    </row>
    <row r="127" spans="1:30" ht="13.9" customHeight="1" x14ac:dyDescent="0.2">
      <c r="A127" s="1670"/>
      <c r="B127" s="1671"/>
      <c r="C127" s="1663" t="s">
        <v>384</v>
      </c>
      <c r="D127" s="1656"/>
      <c r="E127" s="707" t="str">
        <f>IF(P41&lt;&gt;"d","",IF(AND(P41="d",E124&gt;20),'Parameter tables'!S166,IF(AND(P41="d",E124&gt;10),'Parameter tables'!R166,'Parameter tables'!Q166)))</f>
        <v/>
      </c>
      <c r="F127" s="764" t="s">
        <v>463</v>
      </c>
      <c r="G127" s="863"/>
      <c r="H127" s="750"/>
      <c r="I127" s="796"/>
      <c r="J127" s="750"/>
      <c r="K127" s="789"/>
      <c r="L127" s="790"/>
      <c r="M127" s="750"/>
      <c r="N127" s="750"/>
      <c r="O127" s="847"/>
      <c r="P127" s="864"/>
      <c r="Q127" s="757"/>
      <c r="R127" s="757"/>
      <c r="S127" s="679"/>
      <c r="T127" s="679"/>
      <c r="U127" s="679"/>
      <c r="V127" s="679"/>
      <c r="W127" s="679"/>
      <c r="X127" s="355"/>
      <c r="Y127" s="347"/>
      <c r="Z127" s="347"/>
      <c r="AA127" s="1"/>
      <c r="AB127" s="1"/>
      <c r="AC127" s="1"/>
      <c r="AD127" s="1"/>
    </row>
    <row r="128" spans="1:30" ht="13.9" customHeight="1" x14ac:dyDescent="0.2">
      <c r="A128" s="1657" t="s">
        <v>12</v>
      </c>
      <c r="B128" s="1658"/>
      <c r="C128" s="1674" t="s">
        <v>46</v>
      </c>
      <c r="D128" s="1669"/>
      <c r="E128" s="865" t="str">
        <f>IF(P23&lt;&gt;"","",IF(E114&gt;'Parameter tables'!O77,'Parameter tables'!L77,IF(E114&gt;'Parameter tables'!O78,'Parameter tables'!L78,IF(E114&gt;'Parameter tables'!O79,'Parameter tables'!L79,IF(E114&gt;'Parameter tables'!O80,'Parameter tables'!L80,IF(E114&gt;'Parameter tables'!O81,'Parameter tables'!L81,IF(E114&gt;'Parameter tables'!O82,'Parameter tables'!L82,IF(E114&gt;'Parameter tables'!O83,'Parameter tables'!L83,'Parameter tables'!L84))))))))</f>
        <v/>
      </c>
      <c r="F128" s="794" t="s">
        <v>129</v>
      </c>
      <c r="G128" s="741"/>
      <c r="H128" s="750"/>
      <c r="I128" s="796"/>
      <c r="J128" s="796"/>
      <c r="K128" s="866"/>
      <c r="L128" s="790"/>
      <c r="M128" s="750"/>
      <c r="N128" s="750"/>
      <c r="O128" s="847"/>
      <c r="P128" s="789"/>
      <c r="Q128" s="789"/>
      <c r="R128" s="789"/>
      <c r="S128" s="867"/>
      <c r="T128" s="868"/>
      <c r="U128" s="869"/>
      <c r="V128" s="869"/>
      <c r="W128" s="679"/>
      <c r="X128" s="356"/>
      <c r="Y128" s="356"/>
      <c r="Z128" s="347"/>
      <c r="AA128" s="1"/>
      <c r="AB128" s="1"/>
      <c r="AC128" s="1"/>
      <c r="AD128" s="1"/>
    </row>
    <row r="129" spans="1:30" x14ac:dyDescent="0.2">
      <c r="A129" s="1672"/>
      <c r="B129" s="1673"/>
      <c r="C129" s="1675"/>
      <c r="D129" s="1641"/>
      <c r="E129" s="870" t="str">
        <f>IF(P23="","",IF(P23="a",'Parameter tables'!L77,IF(P23="b",'Parameter tables'!L78,IF(P23="c",'Parameter tables'!L79,IF(P23="d",'Parameter tables'!L80,"")))))</f>
        <v/>
      </c>
      <c r="F129" s="816" t="s">
        <v>130</v>
      </c>
      <c r="G129" s="759"/>
      <c r="H129" s="750"/>
      <c r="I129" s="796"/>
      <c r="J129" s="796"/>
      <c r="K129" s="866"/>
      <c r="L129" s="790"/>
      <c r="M129" s="750"/>
      <c r="N129" s="750"/>
      <c r="O129" s="847"/>
      <c r="P129" s="789"/>
      <c r="Q129" s="871"/>
      <c r="R129" s="871"/>
      <c r="S129" s="867"/>
      <c r="T129" s="872"/>
      <c r="U129" s="869"/>
      <c r="V129" s="869"/>
      <c r="W129" s="679"/>
      <c r="X129" s="356"/>
      <c r="Y129" s="356"/>
      <c r="Z129" s="357"/>
      <c r="AA129" s="1"/>
      <c r="AB129" s="1"/>
      <c r="AC129" s="1"/>
      <c r="AD129" s="1"/>
    </row>
    <row r="130" spans="1:30" ht="13.9" customHeight="1" x14ac:dyDescent="0.2">
      <c r="A130" s="1672"/>
      <c r="B130" s="1673"/>
      <c r="C130" s="1676"/>
      <c r="D130" s="1677"/>
      <c r="E130" s="870">
        <f>IF(P23="","",IF(OR(P23="a",P23="b",P23="c",P23="d"),"",IF(P23="e",'Parameter tables'!L81,IF(P23="f",'Parameter tables'!L82,IF(P23="g",'Parameter tables'!L83,IF(P23="h",'Parameter tables'!L84,IF(P23="i",'Parameter tables'!L85,"")))))))</f>
        <v>1</v>
      </c>
      <c r="F130" s="816" t="s">
        <v>130</v>
      </c>
      <c r="G130" s="759"/>
      <c r="H130" s="750"/>
      <c r="I130" s="723"/>
      <c r="J130" s="723"/>
      <c r="K130" s="866"/>
      <c r="L130" s="790"/>
      <c r="M130" s="873"/>
      <c r="N130" s="873"/>
      <c r="O130" s="874"/>
      <c r="P130" s="789"/>
      <c r="Q130" s="871"/>
      <c r="R130" s="871"/>
      <c r="S130" s="867"/>
      <c r="T130" s="872"/>
      <c r="U130" s="869"/>
      <c r="V130" s="869"/>
      <c r="W130" s="679"/>
      <c r="X130" s="356"/>
      <c r="Y130" s="356"/>
      <c r="Z130" s="357"/>
      <c r="AA130" s="1"/>
      <c r="AB130" s="1"/>
      <c r="AC130" s="1"/>
      <c r="AD130" s="1"/>
    </row>
    <row r="131" spans="1:30" ht="13.9" customHeight="1" x14ac:dyDescent="0.2">
      <c r="A131" s="1659"/>
      <c r="B131" s="1660"/>
      <c r="C131" s="1663" t="s">
        <v>336</v>
      </c>
      <c r="D131" s="1656"/>
      <c r="E131" s="979">
        <f>SUM(E128:E130)</f>
        <v>1</v>
      </c>
      <c r="F131" s="875"/>
      <c r="G131" s="1209"/>
      <c r="H131" s="750"/>
      <c r="I131" s="723"/>
      <c r="J131" s="723"/>
      <c r="K131" s="866"/>
      <c r="L131" s="790"/>
      <c r="M131" s="873"/>
      <c r="N131" s="873"/>
      <c r="O131" s="874"/>
      <c r="P131" s="789"/>
      <c r="Q131" s="871"/>
      <c r="R131" s="871"/>
      <c r="S131" s="867"/>
      <c r="T131" s="872"/>
      <c r="U131" s="869"/>
      <c r="V131" s="869"/>
      <c r="W131" s="679"/>
      <c r="X131" s="356"/>
      <c r="Y131" s="356"/>
      <c r="Z131" s="347"/>
      <c r="AA131" s="347"/>
      <c r="AB131" s="347"/>
      <c r="AC131" s="347"/>
      <c r="AD131" s="1"/>
    </row>
    <row r="132" spans="1:30" ht="13.9" customHeight="1" x14ac:dyDescent="0.2">
      <c r="A132" s="1657" t="s">
        <v>150</v>
      </c>
      <c r="B132" s="1658"/>
      <c r="C132" s="1661" t="s">
        <v>142</v>
      </c>
      <c r="D132" s="1662"/>
      <c r="E132" s="860">
        <f>IF(P25="",'Parameter tables'!L88,IF(P25="a",'Parameter tables'!L87,IF(P25="b",'Parameter tables'!L88,IF(P25="c",'Parameter tables'!L89,IF(P25="d",'Parameter tables'!L90,IF(P25="e",'Parameter tables'!L91,"?"))))))</f>
        <v>1</v>
      </c>
      <c r="F132" s="794" t="s">
        <v>140</v>
      </c>
      <c r="G132" s="876"/>
      <c r="H132" s="750"/>
      <c r="I132" s="796"/>
      <c r="J132" s="796"/>
      <c r="K132" s="789"/>
      <c r="L132" s="790"/>
      <c r="M132" s="750"/>
      <c r="N132" s="679"/>
      <c r="O132" s="847"/>
      <c r="P132" s="789"/>
      <c r="Q132" s="871"/>
      <c r="R132" s="871"/>
      <c r="S132" s="867"/>
      <c r="T132" s="872"/>
      <c r="U132" s="869"/>
      <c r="V132" s="869"/>
      <c r="W132" s="679"/>
      <c r="X132" s="356"/>
      <c r="Y132" s="356"/>
      <c r="Z132" s="347"/>
      <c r="AA132" s="347"/>
      <c r="AB132" s="347"/>
      <c r="AC132" s="347"/>
      <c r="AD132" s="1"/>
    </row>
    <row r="133" spans="1:30" ht="13.9" customHeight="1" x14ac:dyDescent="0.2">
      <c r="A133" s="1659"/>
      <c r="B133" s="1660"/>
      <c r="C133" s="1663" t="s">
        <v>143</v>
      </c>
      <c r="D133" s="1656"/>
      <c r="E133" s="979">
        <f>IF(P26="",'Parameter tables'!L88,IF(P26="a",'Parameter tables'!L87,IF(P26="b",'Parameter tables'!L88,IF(P26="c",'Parameter tables'!L89,IF(P26="d",'Parameter tables'!L90,IF(P26="e",'Parameter tables'!L91,"?"))))))</f>
        <v>1.5</v>
      </c>
      <c r="F133" s="764" t="s">
        <v>141</v>
      </c>
      <c r="G133" s="863"/>
      <c r="H133" s="750"/>
      <c r="I133" s="796"/>
      <c r="J133" s="796"/>
      <c r="K133" s="789"/>
      <c r="L133" s="790"/>
      <c r="M133" s="750"/>
      <c r="N133" s="679"/>
      <c r="O133" s="847"/>
      <c r="P133" s="789"/>
      <c r="Q133" s="871"/>
      <c r="R133" s="871"/>
      <c r="S133" s="867"/>
      <c r="T133" s="872"/>
      <c r="U133" s="869"/>
      <c r="V133" s="869"/>
      <c r="W133" s="679"/>
      <c r="X133" s="356"/>
      <c r="Y133" s="356"/>
      <c r="Z133" s="347"/>
      <c r="AA133" s="347"/>
      <c r="AB133" s="347"/>
      <c r="AC133" s="347"/>
      <c r="AD133" s="1"/>
    </row>
    <row r="134" spans="1:30" ht="13.9" customHeight="1" x14ac:dyDescent="0.2">
      <c r="A134" s="1657" t="s">
        <v>459</v>
      </c>
      <c r="B134" s="1658"/>
      <c r="C134" s="1661" t="s">
        <v>144</v>
      </c>
      <c r="D134" s="1662"/>
      <c r="E134" s="877">
        <f>IF(OR(E119="?",E125="-",E125="?"),"?",IF(E126="overstressing",E119/E125,E119*E126/E125))</f>
        <v>4.1272433127594166</v>
      </c>
      <c r="F134" s="1664" t="str">
        <f>IF(OR(E134="?",E134="overstressed"),"",IF(E134&gt;$T$96,$U$96,IF(E134&gt;$T$97,$U$97,IF(E134&gt;$T$98,$U$98,IF(E134&gt;$T$99,$U$99,IF(E134&gt;$T$100,$U$100,$U$101))))))</f>
        <v>fair</v>
      </c>
      <c r="G134" s="1665"/>
      <c r="H134" s="750"/>
      <c r="I134" s="857"/>
      <c r="J134" s="1260"/>
      <c r="K134" s="857"/>
      <c r="L134" s="1260"/>
      <c r="M134" s="878"/>
      <c r="N134" s="879"/>
      <c r="O134" s="750"/>
      <c r="P134" s="880"/>
      <c r="Q134" s="880"/>
      <c r="R134" s="880"/>
      <c r="S134" s="880"/>
      <c r="T134" s="880"/>
      <c r="U134" s="880"/>
      <c r="V134" s="880"/>
      <c r="W134" s="880"/>
      <c r="X134" s="358"/>
      <c r="Y134" s="358"/>
      <c r="Z134" s="358"/>
      <c r="AA134" s="358"/>
      <c r="AB134" s="358"/>
      <c r="AC134" s="348"/>
      <c r="AD134" s="347"/>
    </row>
    <row r="135" spans="1:30" ht="13.9" customHeight="1" x14ac:dyDescent="0.2">
      <c r="A135" s="1659"/>
      <c r="B135" s="1660"/>
      <c r="C135" s="1663" t="s">
        <v>145</v>
      </c>
      <c r="D135" s="1656"/>
      <c r="E135" s="881">
        <f>IF(OR(E119="?",E125="-",E125="?"),"?",IF(P41="d",5*E119*E127/E125,IF(E126="overstressing",5*E119/E125,5*E119*E126/E125)))</f>
        <v>20.636216563797085</v>
      </c>
      <c r="F135" s="1666"/>
      <c r="G135" s="1667"/>
      <c r="H135" s="750"/>
      <c r="I135" s="857"/>
      <c r="J135" s="1260"/>
      <c r="K135" s="857"/>
      <c r="L135" s="1260"/>
      <c r="M135" s="679"/>
      <c r="N135" s="882"/>
      <c r="O135" s="750"/>
      <c r="P135" s="880"/>
      <c r="Q135" s="880"/>
      <c r="R135" s="880"/>
      <c r="S135" s="880"/>
      <c r="T135" s="880"/>
      <c r="U135" s="880"/>
      <c r="V135" s="880"/>
      <c r="W135" s="880"/>
      <c r="X135" s="358"/>
      <c r="Y135" s="358"/>
      <c r="Z135" s="358"/>
      <c r="AA135" s="358"/>
      <c r="AB135" s="358"/>
      <c r="AC135" s="347"/>
      <c r="AD135" s="347"/>
    </row>
    <row r="136" spans="1:30" x14ac:dyDescent="0.2">
      <c r="A136" s="1640" t="s">
        <v>158</v>
      </c>
      <c r="B136" s="1641"/>
      <c r="C136" s="1644" t="s">
        <v>188</v>
      </c>
      <c r="D136" s="1645"/>
      <c r="E136" s="883">
        <f>IF(E$119="?","?",IF(L111="no",L103/E115*E132/E$131,E123/E$115*E132/E$131))</f>
        <v>37.493965093481769</v>
      </c>
      <c r="F136" s="884" t="str">
        <f>IF(E136="?","",IF(E136&lt;T104,U104,IF(E136&lt;T105,U105,IF(E136&lt;T106,U106,IF(E136&lt;T107,U107,IF(E136&lt;T108,U108,U109))))))</f>
        <v>fair</v>
      </c>
      <c r="G136" s="885"/>
      <c r="H136" s="750"/>
      <c r="I136" s="857"/>
      <c r="J136" s="1260"/>
      <c r="K136" s="857"/>
      <c r="L136" s="1260"/>
      <c r="M136" s="679"/>
      <c r="N136" s="882"/>
      <c r="O136" s="750"/>
      <c r="P136" s="886"/>
      <c r="Q136" s="886"/>
      <c r="R136" s="886"/>
      <c r="S136" s="886"/>
      <c r="T136" s="886"/>
      <c r="U136" s="887"/>
      <c r="V136" s="887"/>
      <c r="W136" s="887"/>
      <c r="X136" s="252"/>
      <c r="Y136" s="252"/>
      <c r="Z136" s="252"/>
      <c r="AA136" s="252"/>
      <c r="AB136" s="252"/>
      <c r="AC136" s="252"/>
      <c r="AD136" s="347"/>
    </row>
    <row r="137" spans="1:30" ht="15" thickBot="1" x14ac:dyDescent="0.25">
      <c r="A137" s="1642"/>
      <c r="B137" s="1643"/>
      <c r="C137" s="1646" t="s">
        <v>189</v>
      </c>
      <c r="D137" s="1647"/>
      <c r="E137" s="888">
        <f>IF(E$119="?","?",IF(L112="no",L103/E115*E133/E$131,E124/E115*E133/E$131))</f>
        <v>28.120473820111329</v>
      </c>
      <c r="F137" s="889" t="str">
        <f>IF(E137="?","",IF(E137&lt;T104,U104,IF(E137&lt;T105,U105,IF(E137&lt;T106,U106,IF(E137&lt;T107,U107,IF(E137&lt;T108,U108,U109))))))</f>
        <v>fair</v>
      </c>
      <c r="G137" s="890"/>
      <c r="H137" s="750"/>
      <c r="I137" s="857"/>
      <c r="J137" s="1260"/>
      <c r="K137" s="857"/>
      <c r="L137" s="1260"/>
      <c r="M137" s="679"/>
      <c r="N137" s="882"/>
      <c r="O137" s="750"/>
      <c r="P137" s="886"/>
      <c r="Q137" s="886"/>
      <c r="R137" s="886"/>
      <c r="S137" s="886"/>
      <c r="T137" s="886"/>
      <c r="U137" s="891"/>
      <c r="V137" s="891"/>
      <c r="W137" s="892"/>
      <c r="X137" s="268"/>
      <c r="Y137" s="268"/>
      <c r="Z137" s="268"/>
      <c r="AA137" s="268"/>
      <c r="AB137" s="268"/>
      <c r="AC137" s="268"/>
      <c r="AD137" s="347"/>
    </row>
    <row r="138" spans="1:30" x14ac:dyDescent="0.2">
      <c r="A138" s="1648" t="s">
        <v>460</v>
      </c>
      <c r="B138" s="1649"/>
      <c r="C138" s="1649"/>
      <c r="D138" s="1650"/>
      <c r="E138" s="893">
        <f>IF(E119="?","?",7*E119^0.4)</f>
        <v>12.341332948972235</v>
      </c>
      <c r="F138" s="894" t="s">
        <v>432</v>
      </c>
      <c r="G138" s="895"/>
      <c r="H138" s="896"/>
      <c r="I138" s="857"/>
      <c r="J138" s="1260"/>
      <c r="K138" s="1260"/>
      <c r="L138" s="1260"/>
      <c r="M138" s="897"/>
      <c r="N138" s="672"/>
      <c r="O138" s="750"/>
      <c r="P138" s="886"/>
      <c r="Q138" s="886"/>
      <c r="R138" s="886"/>
      <c r="S138" s="886"/>
      <c r="T138" s="886"/>
      <c r="U138" s="898"/>
      <c r="V138" s="898"/>
      <c r="W138" s="898"/>
      <c r="X138" s="349"/>
      <c r="Y138" s="349"/>
      <c r="Z138" s="349"/>
      <c r="AA138" s="349"/>
      <c r="AB138" s="349"/>
      <c r="AC138" s="349"/>
      <c r="AD138" s="347"/>
    </row>
    <row r="139" spans="1:30" x14ac:dyDescent="0.2">
      <c r="A139" s="1651" t="s">
        <v>460</v>
      </c>
      <c r="B139" s="1652"/>
      <c r="C139" s="1652"/>
      <c r="D139" s="1653"/>
      <c r="E139" s="725">
        <f>IF(E119="?","?",5.6*E119^0.375)</f>
        <v>9.5292902280740659</v>
      </c>
      <c r="F139" s="724" t="s">
        <v>431</v>
      </c>
      <c r="G139" s="899"/>
      <c r="H139" s="752"/>
      <c r="I139" s="857"/>
      <c r="J139" s="1260"/>
      <c r="K139" s="857"/>
      <c r="L139" s="1260"/>
      <c r="M139" s="897"/>
      <c r="N139" s="750"/>
      <c r="O139" s="750"/>
      <c r="P139" s="900"/>
      <c r="Q139" s="900"/>
      <c r="R139" s="900"/>
      <c r="S139" s="900"/>
      <c r="T139" s="900"/>
      <c r="U139" s="901"/>
      <c r="V139" s="901"/>
      <c r="W139" s="901"/>
      <c r="X139" s="359"/>
      <c r="Y139" s="359"/>
      <c r="Z139" s="360"/>
      <c r="AA139" s="360"/>
      <c r="AB139" s="360"/>
      <c r="AC139" s="360"/>
      <c r="AD139" s="347"/>
    </row>
    <row r="140" spans="1:30" x14ac:dyDescent="0.2">
      <c r="A140" s="1654" t="s">
        <v>433</v>
      </c>
      <c r="B140" s="1655"/>
      <c r="C140" s="1655"/>
      <c r="D140" s="1656"/>
      <c r="E140" s="795">
        <f>0.2*E103</f>
        <v>17.5</v>
      </c>
      <c r="F140" s="745" t="s">
        <v>434</v>
      </c>
      <c r="G140" s="902"/>
      <c r="H140" s="752"/>
      <c r="I140" s="857"/>
      <c r="J140" s="789"/>
      <c r="K140" s="1260"/>
      <c r="L140" s="1260"/>
      <c r="M140" s="750"/>
      <c r="N140" s="750"/>
      <c r="O140" s="750"/>
      <c r="P140" s="900"/>
      <c r="Q140" s="900"/>
      <c r="R140" s="900"/>
      <c r="S140" s="900"/>
      <c r="T140" s="900"/>
      <c r="U140" s="901"/>
      <c r="V140" s="901"/>
      <c r="W140" s="901"/>
      <c r="X140" s="359"/>
      <c r="Y140" s="359"/>
      <c r="Z140" s="360"/>
      <c r="AA140" s="360"/>
      <c r="AB140" s="360"/>
      <c r="AC140" s="360"/>
      <c r="AD140" s="347"/>
    </row>
    <row r="141" spans="1:30" x14ac:dyDescent="0.2">
      <c r="B141" s="10"/>
      <c r="C141" s="273"/>
      <c r="D141" s="273"/>
      <c r="E141" s="273"/>
      <c r="F141" s="639"/>
      <c r="G141" s="640"/>
      <c r="H141" s="9"/>
      <c r="I141" s="356"/>
      <c r="J141" s="273"/>
      <c r="K141" s="2"/>
      <c r="L141" s="2"/>
      <c r="M141" s="10"/>
      <c r="N141" s="10"/>
      <c r="O141" s="10"/>
      <c r="P141" s="903"/>
      <c r="Q141" s="903"/>
      <c r="R141" s="903"/>
      <c r="S141" s="903"/>
      <c r="T141" s="903"/>
      <c r="U141" s="360"/>
      <c r="V141" s="360"/>
      <c r="W141" s="360"/>
      <c r="X141" s="360"/>
      <c r="Y141" s="360"/>
      <c r="Z141" s="360"/>
      <c r="AA141" s="360"/>
      <c r="AB141" s="360"/>
      <c r="AC141" s="360"/>
      <c r="AD141" s="347"/>
    </row>
    <row r="142" spans="1:30" x14ac:dyDescent="0.2">
      <c r="B142" s="6"/>
      <c r="C142" s="5"/>
      <c r="D142" s="5"/>
      <c r="E142" s="14"/>
      <c r="F142" s="2"/>
      <c r="G142" s="10"/>
      <c r="H142" s="2"/>
      <c r="I142" s="9"/>
      <c r="J142" s="9"/>
      <c r="K142" s="9"/>
      <c r="L142" s="9"/>
      <c r="M142" s="9"/>
      <c r="N142" s="9"/>
      <c r="O142" s="351"/>
      <c r="P142" s="309"/>
      <c r="Q142" s="309"/>
      <c r="R142" s="309"/>
      <c r="S142" s="309"/>
      <c r="T142" s="309"/>
      <c r="U142" s="309"/>
      <c r="V142" s="309"/>
      <c r="W142" s="309"/>
      <c r="X142" s="309"/>
      <c r="Y142" s="309"/>
      <c r="Z142" s="309"/>
      <c r="AA142" s="309"/>
      <c r="AB142" s="11"/>
      <c r="AC142" s="11"/>
      <c r="AD142" s="11"/>
    </row>
  </sheetData>
  <sheetProtection password="CC63" sheet="1" objects="1" scenarios="1" formatCells="0"/>
  <mergeCells count="282">
    <mergeCell ref="A4:E6"/>
    <mergeCell ref="G4:H4"/>
    <mergeCell ref="J4:K4"/>
    <mergeCell ref="M4:N4"/>
    <mergeCell ref="V4:AB4"/>
    <mergeCell ref="F5:N6"/>
    <mergeCell ref="O5:Q6"/>
    <mergeCell ref="V5:AC10"/>
    <mergeCell ref="A7:B8"/>
    <mergeCell ref="C7:E7"/>
    <mergeCell ref="K7:N8"/>
    <mergeCell ref="O7:Q7"/>
    <mergeCell ref="R7:T8"/>
    <mergeCell ref="O8:Q8"/>
    <mergeCell ref="U8:U22"/>
    <mergeCell ref="A9:B14"/>
    <mergeCell ref="C9:E9"/>
    <mergeCell ref="O9:Q9"/>
    <mergeCell ref="R9:T9"/>
    <mergeCell ref="C10:E10"/>
    <mergeCell ref="C11:E12"/>
    <mergeCell ref="O11:O12"/>
    <mergeCell ref="P11:Q12"/>
    <mergeCell ref="R11:R12"/>
    <mergeCell ref="S11:T12"/>
    <mergeCell ref="C13:D14"/>
    <mergeCell ref="E13:E14"/>
    <mergeCell ref="O13:O14"/>
    <mergeCell ref="P13:Q14"/>
    <mergeCell ref="R13:R14"/>
    <mergeCell ref="S13:S14"/>
    <mergeCell ref="T13:T14"/>
    <mergeCell ref="V13:Y14"/>
    <mergeCell ref="Z13:AC14"/>
    <mergeCell ref="A15:B18"/>
    <mergeCell ref="C15:E16"/>
    <mergeCell ref="O15:O16"/>
    <mergeCell ref="P15:Q16"/>
    <mergeCell ref="R15:R16"/>
    <mergeCell ref="S15:S16"/>
    <mergeCell ref="A19:B22"/>
    <mergeCell ref="E19:E20"/>
    <mergeCell ref="O19:O20"/>
    <mergeCell ref="P19:Q20"/>
    <mergeCell ref="R19:R20"/>
    <mergeCell ref="S19:S20"/>
    <mergeCell ref="T15:T16"/>
    <mergeCell ref="C17:D18"/>
    <mergeCell ref="E17:E18"/>
    <mergeCell ref="O17:O18"/>
    <mergeCell ref="P17:Q18"/>
    <mergeCell ref="R17:R18"/>
    <mergeCell ref="S17:S18"/>
    <mergeCell ref="T17:T18"/>
    <mergeCell ref="T19:T20"/>
    <mergeCell ref="C20:D20"/>
    <mergeCell ref="C21:D22"/>
    <mergeCell ref="E21:E22"/>
    <mergeCell ref="K21:N22"/>
    <mergeCell ref="O21:O22"/>
    <mergeCell ref="P21:Q22"/>
    <mergeCell ref="R21:R22"/>
    <mergeCell ref="S21:S22"/>
    <mergeCell ref="T21:T22"/>
    <mergeCell ref="T23:T24"/>
    <mergeCell ref="E25:E26"/>
    <mergeCell ref="K25:L26"/>
    <mergeCell ref="M25:N26"/>
    <mergeCell ref="P25:Q25"/>
    <mergeCell ref="P26:Q26"/>
    <mergeCell ref="A23:B26"/>
    <mergeCell ref="E23:E24"/>
    <mergeCell ref="O23:O24"/>
    <mergeCell ref="P23:Q24"/>
    <mergeCell ref="R23:R24"/>
    <mergeCell ref="S23:S24"/>
    <mergeCell ref="R27:R28"/>
    <mergeCell ref="S28:T29"/>
    <mergeCell ref="C29:D30"/>
    <mergeCell ref="E29:E30"/>
    <mergeCell ref="O29:O30"/>
    <mergeCell ref="P29:Q30"/>
    <mergeCell ref="R29:R30"/>
    <mergeCell ref="A27:A38"/>
    <mergeCell ref="B27:B30"/>
    <mergeCell ref="C27:D28"/>
    <mergeCell ref="E27:E28"/>
    <mergeCell ref="O27:O28"/>
    <mergeCell ref="P27:Q28"/>
    <mergeCell ref="B31:B34"/>
    <mergeCell ref="C31:E32"/>
    <mergeCell ref="O31:O34"/>
    <mergeCell ref="P31:Q34"/>
    <mergeCell ref="S31:S34"/>
    <mergeCell ref="T31:T34"/>
    <mergeCell ref="R32:R33"/>
    <mergeCell ref="C33:D34"/>
    <mergeCell ref="B35:D36"/>
    <mergeCell ref="E35:E36"/>
    <mergeCell ref="O35:O36"/>
    <mergeCell ref="P35:Q36"/>
    <mergeCell ref="R35:R36"/>
    <mergeCell ref="S35:S36"/>
    <mergeCell ref="W37:X38"/>
    <mergeCell ref="A39:D40"/>
    <mergeCell ref="E39:E40"/>
    <mergeCell ref="O39:O40"/>
    <mergeCell ref="P39:Q40"/>
    <mergeCell ref="R39:R40"/>
    <mergeCell ref="S39:S40"/>
    <mergeCell ref="T39:T40"/>
    <mergeCell ref="T35:T36"/>
    <mergeCell ref="B37:D38"/>
    <mergeCell ref="E37:E38"/>
    <mergeCell ref="K37:L38"/>
    <mergeCell ref="M37:N38"/>
    <mergeCell ref="O37:O38"/>
    <mergeCell ref="P37:Q38"/>
    <mergeCell ref="R37:R38"/>
    <mergeCell ref="S37:S38"/>
    <mergeCell ref="T37:T38"/>
    <mergeCell ref="A41:D42"/>
    <mergeCell ref="E41:E44"/>
    <mergeCell ref="O41:O44"/>
    <mergeCell ref="P41:Q44"/>
    <mergeCell ref="A43:A48"/>
    <mergeCell ref="B43:D44"/>
    <mergeCell ref="B47:D47"/>
    <mergeCell ref="F47:G47"/>
    <mergeCell ref="K47:N47"/>
    <mergeCell ref="P47:Q47"/>
    <mergeCell ref="B48:D48"/>
    <mergeCell ref="E48:K48"/>
    <mergeCell ref="L48:Q49"/>
    <mergeCell ref="R48:T49"/>
    <mergeCell ref="V48:AA49"/>
    <mergeCell ref="R50:R51"/>
    <mergeCell ref="R43:R44"/>
    <mergeCell ref="B45:D45"/>
    <mergeCell ref="E45:E46"/>
    <mergeCell ref="K45:L46"/>
    <mergeCell ref="M45:N46"/>
    <mergeCell ref="P45:Q45"/>
    <mergeCell ref="B46:D46"/>
    <mergeCell ref="P46:Q46"/>
    <mergeCell ref="O63:T64"/>
    <mergeCell ref="A66:T66"/>
    <mergeCell ref="P67:U67"/>
    <mergeCell ref="C68:E69"/>
    <mergeCell ref="P68:V68"/>
    <mergeCell ref="I69:N69"/>
    <mergeCell ref="K54:R54"/>
    <mergeCell ref="B56:H56"/>
    <mergeCell ref="I56:N56"/>
    <mergeCell ref="O56:T56"/>
    <mergeCell ref="O60:T61"/>
    <mergeCell ref="B62:H62"/>
    <mergeCell ref="B70:D70"/>
    <mergeCell ref="F70:G70"/>
    <mergeCell ref="I70:K70"/>
    <mergeCell ref="M70:N70"/>
    <mergeCell ref="B71:B72"/>
    <mergeCell ref="C71:D71"/>
    <mergeCell ref="I71:K71"/>
    <mergeCell ref="C72:D72"/>
    <mergeCell ref="I72:I74"/>
    <mergeCell ref="J72:K72"/>
    <mergeCell ref="B73:B76"/>
    <mergeCell ref="C73:D75"/>
    <mergeCell ref="M73:N73"/>
    <mergeCell ref="J74:K74"/>
    <mergeCell ref="I75:I77"/>
    <mergeCell ref="J75:K75"/>
    <mergeCell ref="M75:N75"/>
    <mergeCell ref="C76:D76"/>
    <mergeCell ref="J76:K76"/>
    <mergeCell ref="M76:N76"/>
    <mergeCell ref="B80:B83"/>
    <mergeCell ref="C80:D82"/>
    <mergeCell ref="I80:K80"/>
    <mergeCell ref="I81:I82"/>
    <mergeCell ref="K81:K82"/>
    <mergeCell ref="C83:D83"/>
    <mergeCell ref="I83:K83"/>
    <mergeCell ref="B77:B79"/>
    <mergeCell ref="C77:D77"/>
    <mergeCell ref="J77:K77"/>
    <mergeCell ref="C78:D78"/>
    <mergeCell ref="I78:K78"/>
    <mergeCell ref="C79:D79"/>
    <mergeCell ref="F79:G79"/>
    <mergeCell ref="I79:K79"/>
    <mergeCell ref="C90:D90"/>
    <mergeCell ref="I90:J90"/>
    <mergeCell ref="B91:B93"/>
    <mergeCell ref="C91:D91"/>
    <mergeCell ref="I91:J91"/>
    <mergeCell ref="C92:D92"/>
    <mergeCell ref="C93:D93"/>
    <mergeCell ref="C84:D84"/>
    <mergeCell ref="I84:K84"/>
    <mergeCell ref="B85:B90"/>
    <mergeCell ref="C85:D88"/>
    <mergeCell ref="I85:J85"/>
    <mergeCell ref="I86:K86"/>
    <mergeCell ref="J87:K87"/>
    <mergeCell ref="I88:J89"/>
    <mergeCell ref="K88:N89"/>
    <mergeCell ref="C89:D89"/>
    <mergeCell ref="C100:E100"/>
    <mergeCell ref="G100:H100"/>
    <mergeCell ref="A101:F101"/>
    <mergeCell ref="I101:N101"/>
    <mergeCell ref="A102:D102"/>
    <mergeCell ref="F102:G102"/>
    <mergeCell ref="I102:K102"/>
    <mergeCell ref="B94:B95"/>
    <mergeCell ref="C94:D94"/>
    <mergeCell ref="C95:D95"/>
    <mergeCell ref="B96:B97"/>
    <mergeCell ref="C96:G97"/>
    <mergeCell ref="C98:D98"/>
    <mergeCell ref="A107:B110"/>
    <mergeCell ref="C107:D109"/>
    <mergeCell ref="I107:J107"/>
    <mergeCell ref="I109:J110"/>
    <mergeCell ref="C110:D110"/>
    <mergeCell ref="A111:D111"/>
    <mergeCell ref="I111:J112"/>
    <mergeCell ref="A112:D112"/>
    <mergeCell ref="A103:B103"/>
    <mergeCell ref="C103:D103"/>
    <mergeCell ref="I103:J103"/>
    <mergeCell ref="A104:B106"/>
    <mergeCell ref="C104:D104"/>
    <mergeCell ref="I104:J105"/>
    <mergeCell ref="C105:D105"/>
    <mergeCell ref="C106:D106"/>
    <mergeCell ref="F106:G106"/>
    <mergeCell ref="I106:J106"/>
    <mergeCell ref="A113:D113"/>
    <mergeCell ref="I113:J114"/>
    <mergeCell ref="K113:N114"/>
    <mergeCell ref="A114:D114"/>
    <mergeCell ref="A115:D115"/>
    <mergeCell ref="I115:K116"/>
    <mergeCell ref="L115:L116"/>
    <mergeCell ref="M115:M116"/>
    <mergeCell ref="A116:D116"/>
    <mergeCell ref="C124:D124"/>
    <mergeCell ref="A125:B125"/>
    <mergeCell ref="C125:D125"/>
    <mergeCell ref="A117:D117"/>
    <mergeCell ref="A118:D118"/>
    <mergeCell ref="A119:D119"/>
    <mergeCell ref="A121:G121"/>
    <mergeCell ref="A122:D122"/>
    <mergeCell ref="F122:G122"/>
    <mergeCell ref="F2:N2"/>
    <mergeCell ref="A136:B137"/>
    <mergeCell ref="C136:D136"/>
    <mergeCell ref="C137:D137"/>
    <mergeCell ref="A138:D138"/>
    <mergeCell ref="A139:D139"/>
    <mergeCell ref="A140:D140"/>
    <mergeCell ref="A132:B133"/>
    <mergeCell ref="C132:D132"/>
    <mergeCell ref="C133:D133"/>
    <mergeCell ref="A134:B135"/>
    <mergeCell ref="C134:D134"/>
    <mergeCell ref="F134:G134"/>
    <mergeCell ref="C135:D135"/>
    <mergeCell ref="F135:G135"/>
    <mergeCell ref="A126:B127"/>
    <mergeCell ref="C126:D126"/>
    <mergeCell ref="C127:D127"/>
    <mergeCell ref="A128:B131"/>
    <mergeCell ref="C128:D130"/>
    <mergeCell ref="C131:D131"/>
    <mergeCell ref="A123:B123"/>
    <mergeCell ref="C123:D123"/>
    <mergeCell ref="A124:B124"/>
  </mergeCells>
  <pageMargins left="0.28000000000000003" right="0.24" top="0.62" bottom="0.15748031496062992" header="0.39" footer="0.23"/>
  <pageSetup paperSize="9" orientation="landscape" horizontalDpi="4294967293" verticalDpi="4294967293" r:id="rId1"/>
  <ignoredErrors>
    <ignoredError sqref="N15" numberStoredAsText="1"/>
    <ignoredError sqref="R21 R3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15</xdr:col>
                    <xdr:colOff>333375</xdr:colOff>
                    <xdr:row>4</xdr:row>
                    <xdr:rowOff>9525</xdr:rowOff>
                  </from>
                  <to>
                    <xdr:col>17</xdr:col>
                    <xdr:colOff>57150</xdr:colOff>
                    <xdr:row>5</xdr:row>
                    <xdr:rowOff>38100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226"/>
  <sheetViews>
    <sheetView showGridLines="0" topLeftCell="A127" zoomScale="115" zoomScaleNormal="115" workbookViewId="0">
      <selection activeCell="D10" sqref="D10"/>
    </sheetView>
  </sheetViews>
  <sheetFormatPr baseColWidth="10" defaultColWidth="8.85546875" defaultRowHeight="12.75" x14ac:dyDescent="0.2"/>
  <cols>
    <col min="1" max="1" width="4.7109375" style="154" customWidth="1"/>
    <col min="2" max="2" width="13.5703125" style="16" customWidth="1"/>
    <col min="3" max="3" width="18.42578125" style="16" customWidth="1"/>
    <col min="4" max="4" width="6.5703125" style="16" customWidth="1"/>
    <col min="5" max="5" width="2" style="16" customWidth="1"/>
    <col min="6" max="6" width="5.42578125" style="16" customWidth="1"/>
    <col min="7" max="7" width="6.5703125" style="16" customWidth="1"/>
    <col min="8" max="12" width="6.7109375" style="16" customWidth="1"/>
    <col min="13" max="13" width="7" style="16" customWidth="1"/>
    <col min="14" max="14" width="3.42578125" style="16" customWidth="1"/>
    <col min="15" max="15" width="10.85546875" style="16" customWidth="1"/>
    <col min="16" max="16" width="4" style="16" customWidth="1"/>
    <col min="17" max="17" width="4.5703125" style="16" customWidth="1"/>
    <col min="18" max="18" width="3.5703125" style="16" customWidth="1"/>
    <col min="19" max="19" width="12.28515625" style="16" customWidth="1"/>
    <col min="20" max="20" width="4.7109375" style="16" customWidth="1"/>
    <col min="21" max="21" width="3.28515625" style="16" customWidth="1"/>
    <col min="22" max="22" width="6.140625" style="16" customWidth="1"/>
    <col min="23" max="23" width="4.28515625" style="16" customWidth="1"/>
    <col min="24" max="24" width="3.140625" style="16" customWidth="1"/>
    <col min="25" max="25" width="4" style="16" customWidth="1"/>
    <col min="26" max="26" width="5.5703125" style="16" customWidth="1"/>
    <col min="27" max="27" width="3.140625" style="16" customWidth="1"/>
    <col min="28" max="29" width="4.28515625" style="16" customWidth="1"/>
    <col min="30" max="30" width="4.7109375" style="16" customWidth="1"/>
    <col min="31" max="31" width="3.28515625" style="16" customWidth="1"/>
    <col min="32" max="32" width="4.28515625" style="16" customWidth="1"/>
    <col min="33" max="16384" width="8.85546875" style="16"/>
  </cols>
  <sheetData>
    <row r="1" spans="1:19" ht="15.75" customHeight="1" x14ac:dyDescent="0.2">
      <c r="A1" s="15" t="s">
        <v>13</v>
      </c>
      <c r="S1" s="521">
        <v>2221</v>
      </c>
    </row>
    <row r="2" spans="1:19" ht="13.15" customHeight="1" x14ac:dyDescent="0.2">
      <c r="A2" s="2792" t="s">
        <v>760</v>
      </c>
      <c r="B2" s="2792"/>
      <c r="C2" s="2792"/>
      <c r="D2" s="2792"/>
      <c r="E2" s="2792"/>
      <c r="G2" s="17"/>
    </row>
    <row r="3" spans="1:19" ht="15.75" customHeight="1" thickBot="1" x14ac:dyDescent="0.25">
      <c r="A3" s="18"/>
      <c r="F3" s="19"/>
      <c r="G3" s="20"/>
      <c r="O3" s="395" t="s">
        <v>597</v>
      </c>
    </row>
    <row r="4" spans="1:19" ht="15.75" customHeight="1" x14ac:dyDescent="0.2">
      <c r="A4" s="21" t="s">
        <v>200</v>
      </c>
      <c r="B4" s="2555" t="s">
        <v>123</v>
      </c>
      <c r="C4" s="2555"/>
      <c r="D4" s="2555"/>
      <c r="E4" s="2555"/>
      <c r="F4" s="2556"/>
      <c r="G4" s="2130" t="s">
        <v>354</v>
      </c>
      <c r="H4" s="2406" t="s">
        <v>644</v>
      </c>
      <c r="I4" s="2407"/>
      <c r="J4" s="2132" t="s">
        <v>0</v>
      </c>
      <c r="K4" s="2133"/>
      <c r="L4" s="2132" t="s">
        <v>1</v>
      </c>
      <c r="M4" s="2263"/>
    </row>
    <row r="5" spans="1:19" ht="12" customHeight="1" x14ac:dyDescent="0.2">
      <c r="A5" s="159" t="s">
        <v>4</v>
      </c>
      <c r="B5" s="2354" t="s">
        <v>347</v>
      </c>
      <c r="C5" s="2354"/>
      <c r="D5" s="2354"/>
      <c r="E5" s="2354"/>
      <c r="F5" s="2397"/>
      <c r="G5" s="2131"/>
      <c r="H5" s="2562" t="s">
        <v>14</v>
      </c>
      <c r="I5" s="2563"/>
      <c r="J5" s="2543" t="s">
        <v>58</v>
      </c>
      <c r="K5" s="2564"/>
      <c r="L5" s="2559" t="s">
        <v>15</v>
      </c>
      <c r="M5" s="2560"/>
    </row>
    <row r="6" spans="1:19" ht="12" customHeight="1" x14ac:dyDescent="0.2">
      <c r="A6" s="343"/>
      <c r="B6" s="2482" t="s">
        <v>17</v>
      </c>
      <c r="C6" s="2398"/>
      <c r="D6" s="22" t="s">
        <v>345</v>
      </c>
      <c r="E6" s="321" t="s">
        <v>184</v>
      </c>
      <c r="F6" s="302">
        <v>1</v>
      </c>
      <c r="G6" s="117" t="s">
        <v>16</v>
      </c>
      <c r="H6" s="2574">
        <v>0</v>
      </c>
      <c r="I6" s="2575"/>
      <c r="J6" s="2414" t="s">
        <v>590</v>
      </c>
      <c r="K6" s="2415"/>
      <c r="L6" s="2570">
        <v>0.5</v>
      </c>
      <c r="M6" s="2571"/>
      <c r="O6" s="2229" t="s">
        <v>331</v>
      </c>
      <c r="P6" s="2450"/>
      <c r="Q6" s="2230"/>
    </row>
    <row r="7" spans="1:19" ht="12" customHeight="1" x14ac:dyDescent="0.2">
      <c r="A7" s="343"/>
      <c r="B7" s="2430" t="s">
        <v>19</v>
      </c>
      <c r="C7" s="325" t="s">
        <v>20</v>
      </c>
      <c r="D7" s="23">
        <f>F6</f>
        <v>1</v>
      </c>
      <c r="E7" s="24" t="s">
        <v>58</v>
      </c>
      <c r="F7" s="303">
        <v>5</v>
      </c>
      <c r="G7" s="106" t="s">
        <v>18</v>
      </c>
      <c r="H7" s="2435">
        <v>1</v>
      </c>
      <c r="I7" s="2436"/>
      <c r="J7" s="2414"/>
      <c r="K7" s="2415"/>
      <c r="L7" s="2530">
        <f>(D7+F7)/2</f>
        <v>3</v>
      </c>
      <c r="M7" s="2565"/>
      <c r="O7" s="2231"/>
      <c r="P7" s="2451"/>
      <c r="Q7" s="2232"/>
    </row>
    <row r="8" spans="1:19" ht="12" customHeight="1" x14ac:dyDescent="0.2">
      <c r="A8" s="343"/>
      <c r="B8" s="2430"/>
      <c r="C8" s="325" t="s">
        <v>22</v>
      </c>
      <c r="D8" s="23">
        <f t="shared" ref="D8:D13" si="0">F7</f>
        <v>5</v>
      </c>
      <c r="E8" s="24" t="s">
        <v>58</v>
      </c>
      <c r="F8" s="303">
        <v>25</v>
      </c>
      <c r="G8" s="106" t="s">
        <v>21</v>
      </c>
      <c r="H8" s="2435">
        <v>2</v>
      </c>
      <c r="I8" s="2436"/>
      <c r="J8" s="2414"/>
      <c r="K8" s="2415"/>
      <c r="L8" s="2530">
        <f t="shared" ref="L8:L13" si="1">(D8+F8)/2</f>
        <v>15</v>
      </c>
      <c r="M8" s="2565"/>
      <c r="O8" s="2231"/>
      <c r="P8" s="2451"/>
      <c r="Q8" s="2232"/>
    </row>
    <row r="9" spans="1:19" ht="12" customHeight="1" x14ac:dyDescent="0.2">
      <c r="A9" s="343"/>
      <c r="B9" s="2430"/>
      <c r="C9" s="325" t="s">
        <v>24</v>
      </c>
      <c r="D9" s="23">
        <f t="shared" si="0"/>
        <v>25</v>
      </c>
      <c r="E9" s="24" t="s">
        <v>58</v>
      </c>
      <c r="F9" s="303">
        <v>50</v>
      </c>
      <c r="G9" s="106" t="s">
        <v>23</v>
      </c>
      <c r="H9" s="2435">
        <v>4</v>
      </c>
      <c r="I9" s="2436"/>
      <c r="J9" s="2414"/>
      <c r="K9" s="2415"/>
      <c r="L9" s="2530">
        <f t="shared" si="1"/>
        <v>37.5</v>
      </c>
      <c r="M9" s="2565"/>
      <c r="O9" s="2231"/>
      <c r="P9" s="2451"/>
      <c r="Q9" s="2232"/>
    </row>
    <row r="10" spans="1:19" ht="12" customHeight="1" x14ac:dyDescent="0.2">
      <c r="A10" s="343"/>
      <c r="B10" s="2430"/>
      <c r="C10" s="2794" t="s">
        <v>26</v>
      </c>
      <c r="D10" s="23">
        <f t="shared" si="0"/>
        <v>50</v>
      </c>
      <c r="E10" s="24" t="s">
        <v>58</v>
      </c>
      <c r="F10" s="303">
        <v>75</v>
      </c>
      <c r="G10" s="106" t="s">
        <v>25</v>
      </c>
      <c r="H10" s="2410">
        <v>7</v>
      </c>
      <c r="I10" s="2411"/>
      <c r="J10" s="2414"/>
      <c r="K10" s="2415"/>
      <c r="L10" s="2530">
        <f t="shared" si="1"/>
        <v>62.5</v>
      </c>
      <c r="M10" s="2565"/>
      <c r="O10" s="2231"/>
      <c r="P10" s="2451"/>
      <c r="Q10" s="2232"/>
    </row>
    <row r="11" spans="1:19" ht="12" customHeight="1" x14ac:dyDescent="0.2">
      <c r="A11" s="413"/>
      <c r="B11" s="2430"/>
      <c r="C11" s="2795"/>
      <c r="D11" s="23">
        <f t="shared" si="0"/>
        <v>75</v>
      </c>
      <c r="E11" s="24" t="s">
        <v>58</v>
      </c>
      <c r="F11" s="303">
        <v>100</v>
      </c>
      <c r="G11" s="989" t="s">
        <v>27</v>
      </c>
      <c r="H11" s="2433">
        <v>7</v>
      </c>
      <c r="I11" s="2434"/>
      <c r="J11" s="2414"/>
      <c r="K11" s="2415"/>
      <c r="L11" s="2530">
        <f t="shared" si="1"/>
        <v>87.5</v>
      </c>
      <c r="M11" s="2565"/>
      <c r="O11" s="2231"/>
      <c r="P11" s="2451"/>
      <c r="Q11" s="2232"/>
    </row>
    <row r="12" spans="1:19" ht="12" customHeight="1" x14ac:dyDescent="0.2">
      <c r="A12" s="413"/>
      <c r="B12" s="2431"/>
      <c r="C12" s="2794" t="s">
        <v>28</v>
      </c>
      <c r="D12" s="23">
        <f t="shared" si="0"/>
        <v>100</v>
      </c>
      <c r="E12" s="301"/>
      <c r="F12" s="304">
        <v>150</v>
      </c>
      <c r="G12" s="255" t="s">
        <v>29</v>
      </c>
      <c r="H12" s="2410">
        <v>12</v>
      </c>
      <c r="I12" s="2411"/>
      <c r="J12" s="2414"/>
      <c r="K12" s="2415"/>
      <c r="L12" s="2530">
        <f t="shared" si="1"/>
        <v>125</v>
      </c>
      <c r="M12" s="2565"/>
      <c r="O12" s="2231"/>
      <c r="P12" s="2451"/>
      <c r="Q12" s="2232"/>
    </row>
    <row r="13" spans="1:19" ht="12" customHeight="1" x14ac:dyDescent="0.2">
      <c r="A13" s="413"/>
      <c r="B13" s="2431"/>
      <c r="C13" s="2795"/>
      <c r="D13" s="23">
        <f t="shared" si="0"/>
        <v>150</v>
      </c>
      <c r="E13" s="301"/>
      <c r="F13" s="304">
        <v>250</v>
      </c>
      <c r="G13" s="255" t="s">
        <v>54</v>
      </c>
      <c r="H13" s="2410">
        <v>12</v>
      </c>
      <c r="I13" s="2411"/>
      <c r="J13" s="2414"/>
      <c r="K13" s="2415"/>
      <c r="L13" s="2530">
        <f t="shared" si="1"/>
        <v>200</v>
      </c>
      <c r="M13" s="2565"/>
      <c r="O13" s="2231"/>
      <c r="P13" s="2451"/>
      <c r="Q13" s="2232"/>
    </row>
    <row r="14" spans="1:19" ht="12" customHeight="1" thickBot="1" x14ac:dyDescent="0.25">
      <c r="A14" s="25"/>
      <c r="B14" s="2432"/>
      <c r="C14" s="26" t="s">
        <v>30</v>
      </c>
      <c r="D14" s="27" t="s">
        <v>346</v>
      </c>
      <c r="E14" s="28" t="s">
        <v>183</v>
      </c>
      <c r="F14" s="29">
        <f>F13</f>
        <v>250</v>
      </c>
      <c r="G14" s="276" t="s">
        <v>56</v>
      </c>
      <c r="H14" s="2540">
        <v>15</v>
      </c>
      <c r="I14" s="2541"/>
      <c r="J14" s="2568"/>
      <c r="K14" s="2569"/>
      <c r="L14" s="2572">
        <v>300</v>
      </c>
      <c r="M14" s="2573"/>
      <c r="O14" s="2233"/>
      <c r="P14" s="2452"/>
      <c r="Q14" s="2234"/>
    </row>
    <row r="15" spans="1:19" ht="12" customHeight="1" thickTop="1" x14ac:dyDescent="0.2">
      <c r="A15" s="572" t="s">
        <v>661</v>
      </c>
      <c r="B15" s="571" t="s">
        <v>655</v>
      </c>
      <c r="C15" s="557"/>
      <c r="D15" s="558"/>
      <c r="E15" s="559"/>
      <c r="F15" s="560"/>
      <c r="G15" s="556"/>
      <c r="H15" s="561"/>
      <c r="I15" s="561"/>
      <c r="J15" s="559"/>
      <c r="K15" s="559"/>
      <c r="L15" s="561"/>
      <c r="M15" s="562"/>
      <c r="O15" s="553"/>
      <c r="P15" s="553"/>
      <c r="Q15" s="553"/>
    </row>
    <row r="16" spans="1:19" ht="12" customHeight="1" x14ac:dyDescent="0.2">
      <c r="A16" s="72"/>
      <c r="B16" s="555" t="s">
        <v>657</v>
      </c>
      <c r="C16" s="2096" t="s">
        <v>670</v>
      </c>
      <c r="D16" s="2097"/>
      <c r="E16" s="2097"/>
      <c r="F16" s="2097"/>
      <c r="G16" s="2097"/>
      <c r="H16" s="2097"/>
      <c r="I16" s="2097"/>
      <c r="J16" s="2097"/>
      <c r="K16" s="2097"/>
      <c r="L16" s="2097"/>
      <c r="M16" s="2098"/>
      <c r="O16" s="2229" t="s">
        <v>682</v>
      </c>
      <c r="P16" s="2450"/>
      <c r="Q16" s="2230"/>
    </row>
    <row r="17" spans="1:20" ht="12" customHeight="1" x14ac:dyDescent="0.2">
      <c r="A17" s="72"/>
      <c r="B17" s="2151" t="s">
        <v>663</v>
      </c>
      <c r="C17" s="2102" t="s">
        <v>669</v>
      </c>
      <c r="D17" s="2103"/>
      <c r="E17" s="2103"/>
      <c r="F17" s="2103"/>
      <c r="G17" s="2103"/>
      <c r="H17" s="2103"/>
      <c r="I17" s="2103"/>
      <c r="J17" s="2103"/>
      <c r="K17" s="2103"/>
      <c r="L17" s="2103"/>
      <c r="M17" s="2104"/>
      <c r="O17" s="2231"/>
      <c r="P17" s="2451"/>
      <c r="Q17" s="2232"/>
    </row>
    <row r="18" spans="1:20" ht="12" customHeight="1" x14ac:dyDescent="0.2">
      <c r="A18" s="554"/>
      <c r="B18" s="2152"/>
      <c r="C18" s="2105"/>
      <c r="D18" s="2106"/>
      <c r="E18" s="2106"/>
      <c r="F18" s="2106"/>
      <c r="G18" s="2106"/>
      <c r="H18" s="2106"/>
      <c r="I18" s="2106"/>
      <c r="J18" s="2106"/>
      <c r="K18" s="2106"/>
      <c r="L18" s="2106"/>
      <c r="M18" s="2107"/>
      <c r="O18" s="2231"/>
      <c r="P18" s="2451"/>
      <c r="Q18" s="2232"/>
    </row>
    <row r="19" spans="1:20" ht="12" customHeight="1" x14ac:dyDescent="0.2">
      <c r="A19" s="554"/>
      <c r="B19" s="2442" t="s">
        <v>664</v>
      </c>
      <c r="C19" s="2444" t="s">
        <v>668</v>
      </c>
      <c r="D19" s="2445"/>
      <c r="E19" s="2445"/>
      <c r="F19" s="2445"/>
      <c r="G19" s="2445"/>
      <c r="H19" s="2445"/>
      <c r="I19" s="2445"/>
      <c r="J19" s="2445"/>
      <c r="K19" s="2445"/>
      <c r="L19" s="2445"/>
      <c r="M19" s="2446"/>
      <c r="O19" s="2231"/>
      <c r="P19" s="2451"/>
      <c r="Q19" s="2232"/>
    </row>
    <row r="20" spans="1:20" ht="12" customHeight="1" x14ac:dyDescent="0.2">
      <c r="A20" s="554"/>
      <c r="B20" s="2443"/>
      <c r="C20" s="2447"/>
      <c r="D20" s="2448"/>
      <c r="E20" s="2448"/>
      <c r="F20" s="2448"/>
      <c r="G20" s="2448"/>
      <c r="H20" s="2448"/>
      <c r="I20" s="2448"/>
      <c r="J20" s="2448"/>
      <c r="K20" s="2448"/>
      <c r="L20" s="2448"/>
      <c r="M20" s="2449"/>
      <c r="O20" s="2231"/>
      <c r="P20" s="2451"/>
      <c r="Q20" s="2232"/>
    </row>
    <row r="21" spans="1:20" ht="12" customHeight="1" x14ac:dyDescent="0.2">
      <c r="A21" s="554"/>
      <c r="B21" s="2151" t="s">
        <v>665</v>
      </c>
      <c r="C21" s="2102" t="s">
        <v>658</v>
      </c>
      <c r="D21" s="2103"/>
      <c r="E21" s="2103"/>
      <c r="F21" s="2103"/>
      <c r="G21" s="2103"/>
      <c r="H21" s="2103"/>
      <c r="I21" s="2103"/>
      <c r="J21" s="2103"/>
      <c r="K21" s="2103"/>
      <c r="L21" s="2103"/>
      <c r="M21" s="2104"/>
      <c r="O21" s="2231"/>
      <c r="P21" s="2451"/>
      <c r="Q21" s="2232"/>
    </row>
    <row r="22" spans="1:20" ht="12" customHeight="1" x14ac:dyDescent="0.2">
      <c r="A22" s="554"/>
      <c r="B22" s="2152"/>
      <c r="C22" s="2105"/>
      <c r="D22" s="2106"/>
      <c r="E22" s="2106"/>
      <c r="F22" s="2106"/>
      <c r="G22" s="2106"/>
      <c r="H22" s="2106"/>
      <c r="I22" s="2106"/>
      <c r="J22" s="2106"/>
      <c r="K22" s="2106"/>
      <c r="L22" s="2106"/>
      <c r="M22" s="2107"/>
      <c r="O22" s="2231"/>
      <c r="P22" s="2451"/>
      <c r="Q22" s="2232"/>
    </row>
    <row r="23" spans="1:20" ht="12" customHeight="1" x14ac:dyDescent="0.2">
      <c r="A23" s="554"/>
      <c r="B23" s="2151" t="s">
        <v>666</v>
      </c>
      <c r="C23" s="2102" t="s">
        <v>667</v>
      </c>
      <c r="D23" s="2103"/>
      <c r="E23" s="2103"/>
      <c r="F23" s="2103"/>
      <c r="G23" s="2103"/>
      <c r="H23" s="2103"/>
      <c r="I23" s="2103"/>
      <c r="J23" s="2103"/>
      <c r="K23" s="2103"/>
      <c r="L23" s="2103"/>
      <c r="M23" s="2104"/>
      <c r="O23" s="2231"/>
      <c r="P23" s="2451"/>
      <c r="Q23" s="2232"/>
    </row>
    <row r="24" spans="1:20" ht="12" customHeight="1" x14ac:dyDescent="0.2">
      <c r="A24" s="554"/>
      <c r="B24" s="2152"/>
      <c r="C24" s="2105"/>
      <c r="D24" s="2106"/>
      <c r="E24" s="2106"/>
      <c r="F24" s="2106"/>
      <c r="G24" s="2106"/>
      <c r="H24" s="2106"/>
      <c r="I24" s="2106"/>
      <c r="J24" s="2106"/>
      <c r="K24" s="2106"/>
      <c r="L24" s="2106"/>
      <c r="M24" s="2107"/>
      <c r="O24" s="2231"/>
      <c r="P24" s="2451"/>
      <c r="Q24" s="2232"/>
    </row>
    <row r="25" spans="1:20" ht="12" customHeight="1" thickBot="1" x14ac:dyDescent="0.25">
      <c r="A25" s="25"/>
      <c r="B25" s="570" t="s">
        <v>659</v>
      </c>
      <c r="C25" s="2099" t="s">
        <v>660</v>
      </c>
      <c r="D25" s="2100"/>
      <c r="E25" s="2100"/>
      <c r="F25" s="2100"/>
      <c r="G25" s="2100"/>
      <c r="H25" s="2100"/>
      <c r="I25" s="2100"/>
      <c r="J25" s="2100"/>
      <c r="K25" s="2100"/>
      <c r="L25" s="2100"/>
      <c r="M25" s="2101"/>
      <c r="O25" s="2233"/>
      <c r="P25" s="2452"/>
      <c r="Q25" s="2234"/>
    </row>
    <row r="26" spans="1:20" ht="12" customHeight="1" thickBot="1" x14ac:dyDescent="0.25">
      <c r="A26" s="18"/>
      <c r="B26" s="30"/>
      <c r="C26" s="30"/>
      <c r="D26" s="30"/>
      <c r="E26" s="30"/>
      <c r="F26" s="30"/>
      <c r="G26" s="30"/>
      <c r="H26" s="30"/>
      <c r="I26" s="30"/>
      <c r="J26" s="30"/>
    </row>
    <row r="27" spans="1:20" ht="14.25" customHeight="1" x14ac:dyDescent="0.2">
      <c r="A27" s="21" t="s">
        <v>201</v>
      </c>
      <c r="B27" s="2350" t="s">
        <v>31</v>
      </c>
      <c r="C27" s="2350"/>
      <c r="D27" s="2350"/>
      <c r="E27" s="2350"/>
      <c r="F27" s="2351"/>
      <c r="G27" s="2130" t="s">
        <v>354</v>
      </c>
      <c r="H27" s="2406" t="s">
        <v>644</v>
      </c>
      <c r="I27" s="2133"/>
      <c r="J27" s="2132" t="s">
        <v>0</v>
      </c>
      <c r="K27" s="2133"/>
      <c r="L27" s="2132" t="s">
        <v>1</v>
      </c>
      <c r="M27" s="2263"/>
    </row>
    <row r="28" spans="1:20" ht="12" customHeight="1" x14ac:dyDescent="0.2">
      <c r="A28" s="209" t="s">
        <v>5</v>
      </c>
      <c r="B28" s="2354" t="s">
        <v>230</v>
      </c>
      <c r="C28" s="2554"/>
      <c r="D28" s="333"/>
      <c r="E28" s="333"/>
      <c r="F28" s="160"/>
      <c r="G28" s="2131"/>
      <c r="H28" s="2520" t="s">
        <v>32</v>
      </c>
      <c r="I28" s="2521"/>
      <c r="J28" s="2522" t="s">
        <v>33</v>
      </c>
      <c r="K28" s="2523"/>
      <c r="L28" s="2543" t="s">
        <v>58</v>
      </c>
      <c r="M28" s="2544"/>
    </row>
    <row r="29" spans="1:20" ht="12" customHeight="1" x14ac:dyDescent="0.2">
      <c r="A29" s="2796"/>
      <c r="B29" s="2567" t="s">
        <v>38</v>
      </c>
      <c r="C29" s="563"/>
      <c r="D29" s="31" t="s">
        <v>122</v>
      </c>
      <c r="E29" s="32" t="s">
        <v>184</v>
      </c>
      <c r="F29" s="494">
        <v>10</v>
      </c>
      <c r="G29" s="206" t="s">
        <v>16</v>
      </c>
      <c r="H29" s="2550">
        <v>5</v>
      </c>
      <c r="I29" s="2550"/>
      <c r="J29" s="2570">
        <f>F29</f>
        <v>10</v>
      </c>
      <c r="K29" s="2799"/>
      <c r="L29" s="2412" t="s">
        <v>289</v>
      </c>
      <c r="M29" s="2467"/>
      <c r="O29" s="2229" t="s">
        <v>295</v>
      </c>
      <c r="P29" s="2450"/>
      <c r="Q29" s="2230"/>
      <c r="S29" s="414"/>
      <c r="T29" s="414"/>
    </row>
    <row r="30" spans="1:20" ht="12" customHeight="1" x14ac:dyDescent="0.2">
      <c r="A30" s="2797"/>
      <c r="B30" s="2566"/>
      <c r="C30" s="305"/>
      <c r="D30" s="23">
        <f t="shared" ref="D30:D35" si="2">F29</f>
        <v>10</v>
      </c>
      <c r="E30" s="24" t="s">
        <v>58</v>
      </c>
      <c r="F30" s="303">
        <v>25</v>
      </c>
      <c r="G30" s="82" t="s">
        <v>18</v>
      </c>
      <c r="H30" s="2425">
        <v>5</v>
      </c>
      <c r="I30" s="2425"/>
      <c r="J30" s="2530">
        <v>17</v>
      </c>
      <c r="K30" s="2411"/>
      <c r="L30" s="2414"/>
      <c r="M30" s="2468"/>
      <c r="O30" s="2231"/>
      <c r="P30" s="2451"/>
      <c r="Q30" s="2232"/>
      <c r="S30" s="414"/>
      <c r="T30" s="414"/>
    </row>
    <row r="31" spans="1:20" ht="12" customHeight="1" x14ac:dyDescent="0.2">
      <c r="A31" s="2797"/>
      <c r="B31" s="2437" t="s">
        <v>37</v>
      </c>
      <c r="C31" s="564"/>
      <c r="D31" s="23">
        <f t="shared" si="2"/>
        <v>25</v>
      </c>
      <c r="E31" s="24" t="s">
        <v>58</v>
      </c>
      <c r="F31" s="303">
        <v>40</v>
      </c>
      <c r="G31" s="82" t="s">
        <v>21</v>
      </c>
      <c r="H31" s="2425">
        <v>8</v>
      </c>
      <c r="I31" s="2425"/>
      <c r="J31" s="2530">
        <v>30</v>
      </c>
      <c r="K31" s="2411"/>
      <c r="L31" s="2414"/>
      <c r="M31" s="2468"/>
      <c r="O31" s="2231"/>
      <c r="P31" s="2451"/>
      <c r="Q31" s="2232"/>
      <c r="S31" s="414"/>
      <c r="T31" s="414"/>
    </row>
    <row r="32" spans="1:20" ht="12" customHeight="1" x14ac:dyDescent="0.2">
      <c r="A32" s="2797"/>
      <c r="B32" s="2566"/>
      <c r="C32" s="305"/>
      <c r="D32" s="23">
        <f t="shared" si="2"/>
        <v>40</v>
      </c>
      <c r="E32" s="24" t="s">
        <v>58</v>
      </c>
      <c r="F32" s="303">
        <v>50</v>
      </c>
      <c r="G32" s="82" t="s">
        <v>23</v>
      </c>
      <c r="H32" s="2425">
        <v>8</v>
      </c>
      <c r="I32" s="2425"/>
      <c r="J32" s="2530">
        <f>0.5*(D32+F32)</f>
        <v>45</v>
      </c>
      <c r="K32" s="2411"/>
      <c r="L32" s="2414"/>
      <c r="M32" s="2468"/>
      <c r="O32" s="2231"/>
      <c r="P32" s="2451"/>
      <c r="Q32" s="2232"/>
      <c r="S32" s="414"/>
      <c r="T32" s="414"/>
    </row>
    <row r="33" spans="1:20" ht="12" customHeight="1" x14ac:dyDescent="0.2">
      <c r="A33" s="2797"/>
      <c r="B33" s="2437" t="s">
        <v>36</v>
      </c>
      <c r="C33" s="564"/>
      <c r="D33" s="23">
        <f t="shared" si="2"/>
        <v>50</v>
      </c>
      <c r="E33" s="24" t="s">
        <v>58</v>
      </c>
      <c r="F33" s="303">
        <v>60</v>
      </c>
      <c r="G33" s="82" t="s">
        <v>25</v>
      </c>
      <c r="H33" s="2425">
        <v>13</v>
      </c>
      <c r="I33" s="2425"/>
      <c r="J33" s="2530">
        <f>0.5*(D33+F33)</f>
        <v>55</v>
      </c>
      <c r="K33" s="2411"/>
      <c r="L33" s="2414"/>
      <c r="M33" s="2468"/>
      <c r="O33" s="2231"/>
      <c r="P33" s="2451"/>
      <c r="Q33" s="2232"/>
      <c r="S33" s="414"/>
      <c r="T33" s="414"/>
    </row>
    <row r="34" spans="1:20" ht="12" customHeight="1" x14ac:dyDescent="0.2">
      <c r="A34" s="2797"/>
      <c r="B34" s="2566"/>
      <c r="C34" s="305"/>
      <c r="D34" s="23">
        <f t="shared" si="2"/>
        <v>60</v>
      </c>
      <c r="E34" s="24" t="s">
        <v>58</v>
      </c>
      <c r="F34" s="303">
        <v>75</v>
      </c>
      <c r="G34" s="82" t="s">
        <v>27</v>
      </c>
      <c r="H34" s="2418">
        <v>13</v>
      </c>
      <c r="I34" s="2174"/>
      <c r="J34" s="2530">
        <v>65</v>
      </c>
      <c r="K34" s="2411"/>
      <c r="L34" s="2414"/>
      <c r="M34" s="2468"/>
      <c r="O34" s="2231"/>
      <c r="P34" s="2451"/>
      <c r="Q34" s="2232"/>
      <c r="S34" s="414"/>
      <c r="T34" s="414"/>
    </row>
    <row r="35" spans="1:20" ht="12" customHeight="1" x14ac:dyDescent="0.2">
      <c r="A35" s="2797"/>
      <c r="B35" s="346" t="s">
        <v>35</v>
      </c>
      <c r="C35" s="305"/>
      <c r="D35" s="23">
        <f t="shared" si="2"/>
        <v>75</v>
      </c>
      <c r="E35" s="301"/>
      <c r="F35" s="304">
        <v>90</v>
      </c>
      <c r="G35" s="292" t="s">
        <v>29</v>
      </c>
      <c r="H35" s="2418">
        <v>17</v>
      </c>
      <c r="I35" s="2174"/>
      <c r="J35" s="2530">
        <v>80</v>
      </c>
      <c r="K35" s="2411"/>
      <c r="L35" s="2414"/>
      <c r="M35" s="2468"/>
      <c r="O35" s="2231"/>
      <c r="P35" s="2451"/>
      <c r="Q35" s="2232"/>
      <c r="S35" s="414"/>
      <c r="T35" s="414"/>
    </row>
    <row r="36" spans="1:20" ht="12" customHeight="1" x14ac:dyDescent="0.2">
      <c r="A36" s="2797"/>
      <c r="B36" s="2437" t="s">
        <v>34</v>
      </c>
      <c r="C36" s="565"/>
      <c r="D36" s="300">
        <v>90</v>
      </c>
      <c r="E36" s="301" t="s">
        <v>58</v>
      </c>
      <c r="F36" s="304">
        <v>100</v>
      </c>
      <c r="G36" s="292" t="s">
        <v>54</v>
      </c>
      <c r="H36" s="2418">
        <v>20</v>
      </c>
      <c r="I36" s="2174"/>
      <c r="J36" s="2530">
        <f>0.5*(D36+F36)</f>
        <v>95</v>
      </c>
      <c r="K36" s="2411"/>
      <c r="L36" s="2414"/>
      <c r="M36" s="2468"/>
      <c r="O36" s="2231"/>
      <c r="P36" s="2451"/>
      <c r="Q36" s="2232"/>
      <c r="S36" s="414"/>
      <c r="T36" s="414"/>
    </row>
    <row r="37" spans="1:20" ht="12" customHeight="1" x14ac:dyDescent="0.2">
      <c r="A37" s="2798"/>
      <c r="B37" s="2438"/>
      <c r="C37" s="275"/>
      <c r="D37" s="2439">
        <v>100</v>
      </c>
      <c r="E37" s="2440"/>
      <c r="F37" s="2441"/>
      <c r="G37" s="295" t="s">
        <v>56</v>
      </c>
      <c r="H37" s="2428">
        <v>20</v>
      </c>
      <c r="I37" s="2429"/>
      <c r="J37" s="2758">
        <v>100</v>
      </c>
      <c r="K37" s="2800"/>
      <c r="L37" s="2416"/>
      <c r="M37" s="2469"/>
      <c r="O37" s="2233"/>
      <c r="P37" s="2452"/>
      <c r="Q37" s="2234"/>
      <c r="S37" s="414"/>
      <c r="T37" s="414"/>
    </row>
    <row r="38" spans="1:20" ht="12" customHeight="1" thickBot="1" x14ac:dyDescent="0.25">
      <c r="A38" s="35"/>
      <c r="B38" s="2545" t="s">
        <v>297</v>
      </c>
      <c r="C38" s="2545"/>
      <c r="D38" s="2545"/>
      <c r="E38" s="2545"/>
      <c r="F38" s="2545"/>
      <c r="G38" s="2545"/>
      <c r="H38" s="2545"/>
      <c r="I38" s="2545"/>
      <c r="J38" s="2545"/>
      <c r="K38" s="2545"/>
      <c r="L38" s="2545"/>
      <c r="M38" s="2546"/>
      <c r="O38" s="36"/>
      <c r="P38" s="36"/>
      <c r="Q38" s="36"/>
      <c r="S38" s="17"/>
      <c r="T38" s="17"/>
    </row>
    <row r="39" spans="1:20" ht="12" customHeight="1" thickTop="1" x14ac:dyDescent="0.2">
      <c r="A39" s="161" t="s">
        <v>6</v>
      </c>
      <c r="B39" s="2404" t="s">
        <v>11</v>
      </c>
      <c r="C39" s="2404"/>
      <c r="D39" s="2404"/>
      <c r="E39" s="2404"/>
      <c r="F39" s="2553"/>
      <c r="G39" s="175"/>
      <c r="H39" s="2524" t="s">
        <v>58</v>
      </c>
      <c r="I39" s="2296"/>
      <c r="J39" s="2419" t="s">
        <v>58</v>
      </c>
      <c r="K39" s="2420"/>
      <c r="L39" s="2547" t="s">
        <v>485</v>
      </c>
      <c r="M39" s="2548"/>
      <c r="S39" s="17"/>
      <c r="T39" s="17"/>
    </row>
    <row r="40" spans="1:20" ht="12" customHeight="1" x14ac:dyDescent="0.2">
      <c r="A40" s="289"/>
      <c r="B40" s="2567" t="s">
        <v>423</v>
      </c>
      <c r="C40" s="1894" t="s">
        <v>671</v>
      </c>
      <c r="D40" s="290"/>
      <c r="E40" s="290" t="s">
        <v>184</v>
      </c>
      <c r="F40" s="494">
        <v>1</v>
      </c>
      <c r="G40" s="32" t="s">
        <v>16</v>
      </c>
      <c r="H40" s="2355" t="s">
        <v>289</v>
      </c>
      <c r="I40" s="2180"/>
      <c r="J40" s="2412" t="s">
        <v>289</v>
      </c>
      <c r="K40" s="2413"/>
      <c r="L40" s="2493">
        <f>F40/2/10^6</f>
        <v>4.9999999999999998E-7</v>
      </c>
      <c r="M40" s="2494"/>
      <c r="O40" s="2451" t="s">
        <v>493</v>
      </c>
      <c r="P40" s="2451"/>
      <c r="Q40" s="2451"/>
    </row>
    <row r="41" spans="1:20" ht="12" customHeight="1" x14ac:dyDescent="0.2">
      <c r="A41" s="413"/>
      <c r="B41" s="2566"/>
      <c r="C41" s="2091"/>
      <c r="D41" s="287">
        <f>F40</f>
        <v>1</v>
      </c>
      <c r="E41" s="288" t="s">
        <v>58</v>
      </c>
      <c r="F41" s="495">
        <v>100</v>
      </c>
      <c r="G41" s="81" t="s">
        <v>18</v>
      </c>
      <c r="H41" s="2356"/>
      <c r="I41" s="2182"/>
      <c r="J41" s="2414"/>
      <c r="K41" s="2415"/>
      <c r="L41" s="2760">
        <f>(D41+F41)/2/10^6</f>
        <v>5.0500000000000001E-5</v>
      </c>
      <c r="M41" s="2761"/>
      <c r="O41" s="2451"/>
      <c r="P41" s="2451"/>
      <c r="Q41" s="2451"/>
      <c r="S41" s="278"/>
    </row>
    <row r="42" spans="1:20" ht="12" customHeight="1" x14ac:dyDescent="0.2">
      <c r="A42" s="413"/>
      <c r="B42" s="323" t="s">
        <v>491</v>
      </c>
      <c r="C42" s="277" t="s">
        <v>671</v>
      </c>
      <c r="D42" s="287">
        <f>F41</f>
        <v>100</v>
      </c>
      <c r="E42" s="24" t="s">
        <v>58</v>
      </c>
      <c r="F42" s="303">
        <v>1000</v>
      </c>
      <c r="G42" s="82" t="s">
        <v>21</v>
      </c>
      <c r="H42" s="2356"/>
      <c r="I42" s="2182"/>
      <c r="J42" s="2414"/>
      <c r="K42" s="2415"/>
      <c r="L42" s="2760">
        <f>(D42+F42)/2/10^6</f>
        <v>5.5000000000000003E-4</v>
      </c>
      <c r="M42" s="2761"/>
      <c r="O42" s="2451"/>
      <c r="P42" s="2451"/>
      <c r="Q42" s="2451"/>
      <c r="S42" s="278"/>
    </row>
    <row r="43" spans="1:20" ht="12" customHeight="1" x14ac:dyDescent="0.2">
      <c r="A43" s="413"/>
      <c r="B43" s="323" t="s">
        <v>490</v>
      </c>
      <c r="C43" s="277" t="s">
        <v>672</v>
      </c>
      <c r="D43" s="287">
        <f>F42/1000</f>
        <v>1</v>
      </c>
      <c r="E43" s="324" t="s">
        <v>58</v>
      </c>
      <c r="F43" s="303">
        <v>15</v>
      </c>
      <c r="G43" s="82" t="s">
        <v>23</v>
      </c>
      <c r="H43" s="2356"/>
      <c r="I43" s="2182"/>
      <c r="J43" s="2414"/>
      <c r="K43" s="2415"/>
      <c r="L43" s="2478">
        <f>(D43+F43)/2/10^3</f>
        <v>8.0000000000000002E-3</v>
      </c>
      <c r="M43" s="2479"/>
      <c r="O43" s="2451"/>
      <c r="P43" s="2451"/>
      <c r="Q43" s="2451"/>
      <c r="S43" s="278"/>
    </row>
    <row r="44" spans="1:20" ht="12" customHeight="1" x14ac:dyDescent="0.2">
      <c r="A44" s="413"/>
      <c r="B44" s="323" t="s">
        <v>487</v>
      </c>
      <c r="C44" s="277" t="s">
        <v>672</v>
      </c>
      <c r="D44" s="287">
        <f>F43</f>
        <v>15</v>
      </c>
      <c r="E44" s="324" t="s">
        <v>58</v>
      </c>
      <c r="F44" s="303">
        <v>125</v>
      </c>
      <c r="G44" s="82" t="s">
        <v>25</v>
      </c>
      <c r="H44" s="2356"/>
      <c r="I44" s="2182"/>
      <c r="J44" s="2414"/>
      <c r="K44" s="2415"/>
      <c r="L44" s="2480">
        <f>(D44+F44)/2/10^3</f>
        <v>7.0000000000000007E-2</v>
      </c>
      <c r="M44" s="2481"/>
      <c r="O44" s="2451"/>
      <c r="P44" s="2451"/>
      <c r="Q44" s="2451"/>
      <c r="S44" s="278"/>
    </row>
    <row r="45" spans="1:20" ht="12" customHeight="1" x14ac:dyDescent="0.2">
      <c r="A45" s="413"/>
      <c r="B45" s="323" t="s">
        <v>488</v>
      </c>
      <c r="C45" s="277" t="s">
        <v>673</v>
      </c>
      <c r="D45" s="287">
        <f>F44/1000</f>
        <v>0.125</v>
      </c>
      <c r="E45" s="324" t="s">
        <v>58</v>
      </c>
      <c r="F45" s="303">
        <v>1</v>
      </c>
      <c r="G45" s="82" t="s">
        <v>27</v>
      </c>
      <c r="H45" s="2356"/>
      <c r="I45" s="2182"/>
      <c r="J45" s="2414"/>
      <c r="K45" s="2415"/>
      <c r="L45" s="2480">
        <v>0.5</v>
      </c>
      <c r="M45" s="2481"/>
      <c r="O45" s="2451"/>
      <c r="P45" s="2451"/>
      <c r="Q45" s="2451"/>
    </row>
    <row r="46" spans="1:20" ht="12" customHeight="1" x14ac:dyDescent="0.2">
      <c r="A46" s="413"/>
      <c r="B46" s="345" t="s">
        <v>489</v>
      </c>
      <c r="C46" s="277" t="s">
        <v>673</v>
      </c>
      <c r="D46" s="287">
        <f>F45</f>
        <v>1</v>
      </c>
      <c r="E46" s="291" t="s">
        <v>58</v>
      </c>
      <c r="F46" s="304">
        <v>8</v>
      </c>
      <c r="G46" s="292" t="s">
        <v>29</v>
      </c>
      <c r="H46" s="2356"/>
      <c r="I46" s="2182"/>
      <c r="J46" s="2414"/>
      <c r="K46" s="2415"/>
      <c r="L46" s="2384">
        <v>5</v>
      </c>
      <c r="M46" s="2385"/>
      <c r="O46" s="2451"/>
      <c r="P46" s="2451"/>
      <c r="Q46" s="2451"/>
    </row>
    <row r="47" spans="1:20" ht="12" customHeight="1" x14ac:dyDescent="0.2">
      <c r="A47" s="413"/>
      <c r="B47" s="345" t="s">
        <v>421</v>
      </c>
      <c r="C47" s="277" t="s">
        <v>673</v>
      </c>
      <c r="D47" s="287">
        <f>F46</f>
        <v>8</v>
      </c>
      <c r="E47" s="291" t="s">
        <v>58</v>
      </c>
      <c r="F47" s="304">
        <v>50</v>
      </c>
      <c r="G47" s="82" t="s">
        <v>54</v>
      </c>
      <c r="H47" s="2356"/>
      <c r="I47" s="2182"/>
      <c r="J47" s="2414"/>
      <c r="K47" s="2415"/>
      <c r="L47" s="2386">
        <v>30</v>
      </c>
      <c r="M47" s="2387"/>
      <c r="O47" s="2451"/>
      <c r="P47" s="2451"/>
      <c r="Q47" s="2451"/>
    </row>
    <row r="48" spans="1:20" ht="12" customHeight="1" x14ac:dyDescent="0.2">
      <c r="A48" s="413"/>
      <c r="B48" s="279" t="s">
        <v>573</v>
      </c>
      <c r="C48" s="280" t="s">
        <v>673</v>
      </c>
      <c r="D48" s="281"/>
      <c r="E48" s="282" t="s">
        <v>183</v>
      </c>
      <c r="F48" s="315">
        <f>F47</f>
        <v>50</v>
      </c>
      <c r="G48" s="415" t="s">
        <v>56</v>
      </c>
      <c r="H48" s="2357"/>
      <c r="I48" s="2184"/>
      <c r="J48" s="2416"/>
      <c r="K48" s="2417"/>
      <c r="L48" s="2758">
        <f>F48*2</f>
        <v>100</v>
      </c>
      <c r="M48" s="2759"/>
      <c r="O48" s="2452"/>
      <c r="P48" s="2452"/>
      <c r="Q48" s="2452"/>
    </row>
    <row r="49" spans="1:18" ht="12.75" customHeight="1" thickBot="1" x14ac:dyDescent="0.25">
      <c r="A49" s="37"/>
      <c r="B49" s="2545" t="s">
        <v>334</v>
      </c>
      <c r="C49" s="2545"/>
      <c r="D49" s="2545"/>
      <c r="E49" s="2545"/>
      <c r="F49" s="2545"/>
      <c r="G49" s="2545"/>
      <c r="H49" s="2545"/>
      <c r="I49" s="2545"/>
      <c r="J49" s="2545"/>
      <c r="K49" s="2545"/>
      <c r="L49" s="2545"/>
      <c r="M49" s="2546"/>
    </row>
    <row r="50" spans="1:18" ht="12.75" customHeight="1" thickTop="1" x14ac:dyDescent="0.2">
      <c r="A50" s="162" t="s">
        <v>7</v>
      </c>
      <c r="B50" s="163" t="s">
        <v>759</v>
      </c>
      <c r="C50" s="569"/>
      <c r="D50" s="164"/>
      <c r="E50" s="164"/>
      <c r="F50" s="165"/>
      <c r="G50" s="166"/>
      <c r="H50" s="2549" t="s">
        <v>58</v>
      </c>
      <c r="I50" s="2422"/>
      <c r="J50" s="2421" t="s">
        <v>58</v>
      </c>
      <c r="K50" s="2422"/>
      <c r="L50" s="2421" t="s">
        <v>58</v>
      </c>
      <c r="M50" s="2495"/>
    </row>
    <row r="51" spans="1:18" ht="12.75" customHeight="1" x14ac:dyDescent="0.2">
      <c r="A51" s="2801"/>
      <c r="B51" s="115" t="s">
        <v>492</v>
      </c>
      <c r="C51" s="944">
        <f>F51*1.5</f>
        <v>90</v>
      </c>
      <c r="D51" s="31"/>
      <c r="E51" s="32" t="s">
        <v>183</v>
      </c>
      <c r="F51" s="494">
        <v>60</v>
      </c>
      <c r="G51" s="206" t="s">
        <v>16</v>
      </c>
      <c r="H51" s="2525" t="s">
        <v>289</v>
      </c>
      <c r="I51" s="2180"/>
      <c r="J51" s="2412" t="s">
        <v>289</v>
      </c>
      <c r="K51" s="2413"/>
      <c r="L51" s="1974" t="s">
        <v>289</v>
      </c>
      <c r="M51" s="2380"/>
      <c r="O51" s="2229" t="s">
        <v>403</v>
      </c>
      <c r="P51" s="2450"/>
      <c r="Q51" s="2230"/>
    </row>
    <row r="52" spans="1:18" ht="12.75" customHeight="1" x14ac:dyDescent="0.2">
      <c r="A52" s="2802"/>
      <c r="B52" s="2426" t="s">
        <v>179</v>
      </c>
      <c r="C52" s="945">
        <f>0.5*(D52+F52)</f>
        <v>52.5</v>
      </c>
      <c r="D52" s="23">
        <f>F51</f>
        <v>60</v>
      </c>
      <c r="E52" s="24" t="s">
        <v>58</v>
      </c>
      <c r="F52" s="303">
        <v>45</v>
      </c>
      <c r="G52" s="82" t="s">
        <v>18</v>
      </c>
      <c r="H52" s="2526"/>
      <c r="I52" s="2182"/>
      <c r="J52" s="2414"/>
      <c r="K52" s="2415"/>
      <c r="L52" s="2381"/>
      <c r="M52" s="2382"/>
      <c r="O52" s="2231"/>
      <c r="P52" s="2451"/>
      <c r="Q52" s="2232"/>
    </row>
    <row r="53" spans="1:18" ht="12.75" customHeight="1" x14ac:dyDescent="0.2">
      <c r="A53" s="2802"/>
      <c r="B53" s="2427"/>
      <c r="C53" s="946">
        <f t="shared" ref="C53:C58" si="3">0.5*(D53+F53)</f>
        <v>37.5</v>
      </c>
      <c r="D53" s="23">
        <f t="shared" ref="D53:D58" si="4">F52</f>
        <v>45</v>
      </c>
      <c r="E53" s="24" t="s">
        <v>58</v>
      </c>
      <c r="F53" s="303">
        <v>30</v>
      </c>
      <c r="G53" s="82" t="s">
        <v>21</v>
      </c>
      <c r="H53" s="2526"/>
      <c r="I53" s="2182"/>
      <c r="J53" s="2414"/>
      <c r="K53" s="2415"/>
      <c r="L53" s="2381"/>
      <c r="M53" s="2382"/>
      <c r="O53" s="2231"/>
      <c r="P53" s="2451"/>
      <c r="Q53" s="2232"/>
    </row>
    <row r="54" spans="1:18" ht="12.75" customHeight="1" x14ac:dyDescent="0.2">
      <c r="A54" s="2802"/>
      <c r="B54" s="2426" t="s">
        <v>487</v>
      </c>
      <c r="C54" s="945">
        <f t="shared" si="3"/>
        <v>25</v>
      </c>
      <c r="D54" s="23">
        <f t="shared" si="4"/>
        <v>30</v>
      </c>
      <c r="E54" s="24" t="s">
        <v>58</v>
      </c>
      <c r="F54" s="303">
        <v>20</v>
      </c>
      <c r="G54" s="82" t="s">
        <v>23</v>
      </c>
      <c r="H54" s="2526"/>
      <c r="I54" s="2182"/>
      <c r="J54" s="2414"/>
      <c r="K54" s="2415"/>
      <c r="L54" s="2381"/>
      <c r="M54" s="2382"/>
      <c r="O54" s="2231"/>
      <c r="P54" s="2451"/>
      <c r="Q54" s="2232"/>
    </row>
    <row r="55" spans="1:18" ht="12.75" customHeight="1" x14ac:dyDescent="0.2">
      <c r="A55" s="2802"/>
      <c r="B55" s="2427"/>
      <c r="C55" s="946">
        <f t="shared" si="3"/>
        <v>15</v>
      </c>
      <c r="D55" s="23">
        <f t="shared" si="4"/>
        <v>20</v>
      </c>
      <c r="E55" s="24" t="s">
        <v>58</v>
      </c>
      <c r="F55" s="303">
        <v>10</v>
      </c>
      <c r="G55" s="82" t="s">
        <v>25</v>
      </c>
      <c r="H55" s="2526"/>
      <c r="I55" s="2182"/>
      <c r="J55" s="2414"/>
      <c r="K55" s="2415"/>
      <c r="L55" s="2381"/>
      <c r="M55" s="2382"/>
      <c r="O55" s="2231"/>
      <c r="P55" s="2451"/>
      <c r="Q55" s="2232"/>
    </row>
    <row r="56" spans="1:18" ht="12.75" customHeight="1" x14ac:dyDescent="0.2">
      <c r="A56" s="2802"/>
      <c r="B56" s="2426" t="s">
        <v>180</v>
      </c>
      <c r="C56" s="945">
        <f t="shared" si="3"/>
        <v>7.5</v>
      </c>
      <c r="D56" s="23">
        <f t="shared" si="4"/>
        <v>10</v>
      </c>
      <c r="E56" s="24" t="s">
        <v>58</v>
      </c>
      <c r="F56" s="303">
        <v>5</v>
      </c>
      <c r="G56" s="82" t="s">
        <v>27</v>
      </c>
      <c r="H56" s="2526"/>
      <c r="I56" s="2182"/>
      <c r="J56" s="2414"/>
      <c r="K56" s="2415"/>
      <c r="L56" s="2381"/>
      <c r="M56" s="2382"/>
      <c r="O56" s="2231"/>
      <c r="P56" s="2451"/>
      <c r="Q56" s="2232"/>
    </row>
    <row r="57" spans="1:18" ht="12.75" customHeight="1" x14ac:dyDescent="0.2">
      <c r="A57" s="2802"/>
      <c r="B57" s="2427"/>
      <c r="C57" s="946">
        <f t="shared" si="3"/>
        <v>4</v>
      </c>
      <c r="D57" s="23">
        <f t="shared" si="4"/>
        <v>5</v>
      </c>
      <c r="E57" s="296" t="s">
        <v>58</v>
      </c>
      <c r="F57" s="496">
        <v>3</v>
      </c>
      <c r="G57" s="297" t="s">
        <v>29</v>
      </c>
      <c r="H57" s="2526"/>
      <c r="I57" s="2182"/>
      <c r="J57" s="2414"/>
      <c r="K57" s="2415"/>
      <c r="L57" s="2381"/>
      <c r="M57" s="2382"/>
      <c r="O57" s="2231"/>
      <c r="P57" s="2451"/>
      <c r="Q57" s="2232"/>
    </row>
    <row r="58" spans="1:18" ht="12.75" customHeight="1" x14ac:dyDescent="0.2">
      <c r="A58" s="2802"/>
      <c r="B58" s="293" t="s">
        <v>181</v>
      </c>
      <c r="C58" s="947">
        <f t="shared" si="3"/>
        <v>2</v>
      </c>
      <c r="D58" s="23">
        <f t="shared" si="4"/>
        <v>3</v>
      </c>
      <c r="E58" s="24" t="s">
        <v>58</v>
      </c>
      <c r="F58" s="303">
        <v>1</v>
      </c>
      <c r="G58" s="82" t="s">
        <v>54</v>
      </c>
      <c r="H58" s="2526"/>
      <c r="I58" s="2182"/>
      <c r="J58" s="2414"/>
      <c r="K58" s="2415"/>
      <c r="L58" s="2381"/>
      <c r="M58" s="2382"/>
      <c r="O58" s="2231"/>
      <c r="P58" s="2451"/>
      <c r="Q58" s="2232"/>
    </row>
    <row r="59" spans="1:18" ht="12.75" customHeight="1" x14ac:dyDescent="0.2">
      <c r="A59" s="2803"/>
      <c r="B59" s="285" t="s">
        <v>182</v>
      </c>
      <c r="C59" s="948">
        <f>F59/2</f>
        <v>0.5</v>
      </c>
      <c r="D59" s="294"/>
      <c r="E59" s="298" t="s">
        <v>184</v>
      </c>
      <c r="F59" s="238">
        <f>F58</f>
        <v>1</v>
      </c>
      <c r="G59" s="299" t="s">
        <v>56</v>
      </c>
      <c r="H59" s="2527"/>
      <c r="I59" s="2184"/>
      <c r="J59" s="2416"/>
      <c r="K59" s="2417"/>
      <c r="L59" s="1976"/>
      <c r="M59" s="2383"/>
      <c r="O59" s="2233"/>
      <c r="P59" s="2452"/>
      <c r="Q59" s="2234"/>
    </row>
    <row r="60" spans="1:18" ht="12.75" customHeight="1" thickBot="1" x14ac:dyDescent="0.25">
      <c r="A60" s="283"/>
      <c r="B60" s="38" t="s">
        <v>494</v>
      </c>
      <c r="C60" s="39"/>
      <c r="D60" s="39"/>
      <c r="E60" s="39"/>
      <c r="F60" s="39"/>
      <c r="G60" s="284"/>
      <c r="H60" s="2519"/>
      <c r="I60" s="2519"/>
      <c r="J60" s="2528"/>
      <c r="K60" s="2529"/>
      <c r="L60" s="2680"/>
      <c r="M60" s="2681"/>
      <c r="O60" s="228"/>
      <c r="P60" s="228"/>
      <c r="Q60" s="228"/>
      <c r="R60" s="9"/>
    </row>
    <row r="61" spans="1:18" ht="12" customHeight="1" thickTop="1" x14ac:dyDescent="0.2">
      <c r="A61" s="161" t="s">
        <v>352</v>
      </c>
      <c r="B61" s="2404" t="s">
        <v>206</v>
      </c>
      <c r="C61" s="2561"/>
      <c r="D61" s="332"/>
      <c r="E61" s="332"/>
      <c r="F61" s="167"/>
      <c r="G61" s="168"/>
      <c r="H61" s="2518" t="s">
        <v>39</v>
      </c>
      <c r="I61" s="2420"/>
      <c r="J61" s="2419" t="s">
        <v>58</v>
      </c>
      <c r="K61" s="2420"/>
      <c r="L61" s="2419" t="s">
        <v>58</v>
      </c>
      <c r="M61" s="2706"/>
      <c r="N61" s="40"/>
      <c r="O61" s="196"/>
      <c r="P61" s="228"/>
      <c r="Q61" s="228"/>
    </row>
    <row r="62" spans="1:18" ht="12" customHeight="1" x14ac:dyDescent="0.2">
      <c r="A62" s="343"/>
      <c r="B62" s="274" t="s">
        <v>40</v>
      </c>
      <c r="D62" s="286" t="s">
        <v>486</v>
      </c>
      <c r="E62" s="41" t="s">
        <v>183</v>
      </c>
      <c r="F62" s="33">
        <f>F63</f>
        <v>2</v>
      </c>
      <c r="G62" s="42" t="s">
        <v>16</v>
      </c>
      <c r="H62" s="2488">
        <v>20</v>
      </c>
      <c r="I62" s="2489"/>
      <c r="J62" s="2412" t="s">
        <v>289</v>
      </c>
      <c r="K62" s="2413"/>
      <c r="L62" s="2412" t="s">
        <v>289</v>
      </c>
      <c r="M62" s="2467"/>
      <c r="N62" s="40"/>
      <c r="O62" s="2229" t="s">
        <v>404</v>
      </c>
      <c r="P62" s="2450"/>
      <c r="Q62" s="2230"/>
    </row>
    <row r="63" spans="1:18" ht="12" customHeight="1" x14ac:dyDescent="0.2">
      <c r="A63" s="343"/>
      <c r="B63" s="2490" t="s">
        <v>41</v>
      </c>
      <c r="C63" s="2491"/>
      <c r="D63" s="326">
        <f>F64</f>
        <v>0.6</v>
      </c>
      <c r="E63" s="43" t="s">
        <v>58</v>
      </c>
      <c r="F63" s="157">
        <v>2</v>
      </c>
      <c r="G63" s="44" t="s">
        <v>18</v>
      </c>
      <c r="H63" s="2418">
        <v>15</v>
      </c>
      <c r="I63" s="2174"/>
      <c r="J63" s="2414"/>
      <c r="K63" s="2415"/>
      <c r="L63" s="2414"/>
      <c r="M63" s="2468"/>
      <c r="N63" s="40"/>
      <c r="O63" s="2231"/>
      <c r="P63" s="2451"/>
      <c r="Q63" s="2232"/>
    </row>
    <row r="64" spans="1:18" ht="12" customHeight="1" x14ac:dyDescent="0.2">
      <c r="A64" s="343"/>
      <c r="B64" s="2490" t="s">
        <v>42</v>
      </c>
      <c r="C64" s="2491"/>
      <c r="D64" s="326">
        <f>F65</f>
        <v>0.2</v>
      </c>
      <c r="E64" s="43" t="s">
        <v>58</v>
      </c>
      <c r="F64" s="157">
        <v>0.6</v>
      </c>
      <c r="G64" s="44" t="s">
        <v>21</v>
      </c>
      <c r="H64" s="2418">
        <v>10</v>
      </c>
      <c r="I64" s="2174"/>
      <c r="J64" s="2414"/>
      <c r="K64" s="2415"/>
      <c r="L64" s="2414"/>
      <c r="M64" s="2468"/>
      <c r="N64" s="40"/>
      <c r="O64" s="2231"/>
      <c r="P64" s="2451"/>
      <c r="Q64" s="2232"/>
    </row>
    <row r="65" spans="1:23" ht="12" customHeight="1" x14ac:dyDescent="0.2">
      <c r="A65" s="413"/>
      <c r="B65" s="2490" t="s">
        <v>43</v>
      </c>
      <c r="C65" s="2491"/>
      <c r="D65" s="326">
        <f>F66</f>
        <v>0.06</v>
      </c>
      <c r="E65" s="43" t="s">
        <v>58</v>
      </c>
      <c r="F65" s="157">
        <v>0.2</v>
      </c>
      <c r="G65" s="44" t="s">
        <v>23</v>
      </c>
      <c r="H65" s="2418">
        <v>8</v>
      </c>
      <c r="I65" s="2174"/>
      <c r="J65" s="2414"/>
      <c r="K65" s="2415"/>
      <c r="L65" s="2414"/>
      <c r="M65" s="2468"/>
      <c r="N65" s="40"/>
      <c r="O65" s="2231"/>
      <c r="P65" s="2451"/>
      <c r="Q65" s="2232"/>
    </row>
    <row r="66" spans="1:23" ht="12" customHeight="1" x14ac:dyDescent="0.2">
      <c r="A66" s="208"/>
      <c r="B66" s="2408" t="s">
        <v>44</v>
      </c>
      <c r="C66" s="2409"/>
      <c r="D66" s="34"/>
      <c r="E66" s="45" t="s">
        <v>184</v>
      </c>
      <c r="F66" s="158">
        <v>0.06</v>
      </c>
      <c r="G66" s="46" t="s">
        <v>25</v>
      </c>
      <c r="H66" s="2551">
        <v>5</v>
      </c>
      <c r="I66" s="2552"/>
      <c r="J66" s="2416"/>
      <c r="K66" s="2417"/>
      <c r="L66" s="2416"/>
      <c r="M66" s="2469"/>
      <c r="N66" s="40"/>
      <c r="O66" s="2233"/>
      <c r="P66" s="2452"/>
      <c r="Q66" s="2234"/>
    </row>
    <row r="67" spans="1:23" ht="15" customHeight="1" thickBot="1" x14ac:dyDescent="0.25">
      <c r="A67" s="47"/>
      <c r="B67" s="2557" t="s">
        <v>267</v>
      </c>
      <c r="C67" s="2557"/>
      <c r="D67" s="2557"/>
      <c r="E67" s="2557"/>
      <c r="F67" s="2557"/>
      <c r="G67" s="2557"/>
      <c r="H67" s="2557"/>
      <c r="I67" s="2557"/>
      <c r="J67" s="2557"/>
      <c r="K67" s="2557"/>
      <c r="L67" s="2557"/>
      <c r="M67" s="2558"/>
      <c r="N67" s="40"/>
      <c r="O67" s="48"/>
      <c r="P67" s="48"/>
      <c r="Q67" s="10"/>
    </row>
    <row r="68" spans="1:23" ht="15" customHeight="1" thickBot="1" x14ac:dyDescent="0.25">
      <c r="A68" s="210"/>
      <c r="B68" s="49"/>
      <c r="C68" s="49"/>
      <c r="D68" s="49"/>
      <c r="E68" s="49"/>
      <c r="F68" s="49"/>
      <c r="G68" s="49"/>
      <c r="H68" s="49"/>
      <c r="I68" s="49"/>
      <c r="J68" s="49"/>
      <c r="K68" s="49"/>
      <c r="L68" s="49"/>
      <c r="M68" s="49"/>
      <c r="N68" s="17"/>
      <c r="O68" s="48"/>
      <c r="P68" s="48"/>
      <c r="Q68" s="10"/>
    </row>
    <row r="69" spans="1:23" ht="12" customHeight="1" x14ac:dyDescent="0.2">
      <c r="A69" s="21" t="s">
        <v>202</v>
      </c>
      <c r="B69" s="2555" t="s">
        <v>207</v>
      </c>
      <c r="C69" s="2555"/>
      <c r="D69" s="2555"/>
      <c r="E69" s="2555"/>
      <c r="F69" s="2556"/>
      <c r="G69" s="2130" t="s">
        <v>354</v>
      </c>
      <c r="H69" s="2497" t="s">
        <v>644</v>
      </c>
      <c r="I69" s="2473"/>
      <c r="J69" s="2170" t="s">
        <v>0</v>
      </c>
      <c r="K69" s="2473"/>
      <c r="L69" s="2702" t="s">
        <v>1</v>
      </c>
      <c r="M69" s="2171"/>
      <c r="N69" s="17"/>
      <c r="O69" s="48"/>
      <c r="P69" s="48"/>
      <c r="Q69" s="10"/>
    </row>
    <row r="70" spans="1:23" ht="12" customHeight="1" x14ac:dyDescent="0.2">
      <c r="A70" s="159" t="s">
        <v>2</v>
      </c>
      <c r="B70" s="169" t="s">
        <v>298</v>
      </c>
      <c r="C70" s="170"/>
      <c r="D70" s="170"/>
      <c r="E70" s="170"/>
      <c r="F70" s="171" t="s">
        <v>318</v>
      </c>
      <c r="G70" s="2131"/>
      <c r="H70" s="2496" t="s">
        <v>80</v>
      </c>
      <c r="I70" s="2472"/>
      <c r="J70" s="2472" t="s">
        <v>58</v>
      </c>
      <c r="K70" s="2472"/>
      <c r="L70" s="330" t="s">
        <v>302</v>
      </c>
      <c r="M70" s="311" t="s">
        <v>314</v>
      </c>
      <c r="N70" s="17"/>
      <c r="O70" s="48"/>
      <c r="P70" s="48"/>
      <c r="Q70" s="10"/>
    </row>
    <row r="71" spans="1:23" ht="12" customHeight="1" x14ac:dyDescent="0.2">
      <c r="A71" s="50"/>
      <c r="B71" s="2500" t="s">
        <v>317</v>
      </c>
      <c r="C71" s="2500"/>
      <c r="D71" s="2501" t="s">
        <v>308</v>
      </c>
      <c r="E71" s="2501"/>
      <c r="F71" s="2502"/>
      <c r="G71" s="51" t="s">
        <v>16</v>
      </c>
      <c r="H71" s="2525" t="s">
        <v>289</v>
      </c>
      <c r="I71" s="2180"/>
      <c r="J71" s="2179" t="s">
        <v>289</v>
      </c>
      <c r="K71" s="2180"/>
      <c r="L71" s="52" t="s">
        <v>307</v>
      </c>
      <c r="M71" s="416">
        <v>27</v>
      </c>
      <c r="O71" s="48"/>
      <c r="P71" s="48"/>
      <c r="Q71" s="10"/>
    </row>
    <row r="72" spans="1:23" ht="12" customHeight="1" x14ac:dyDescent="0.2">
      <c r="A72" s="53"/>
      <c r="B72" s="2505" t="s">
        <v>300</v>
      </c>
      <c r="C72" s="2505"/>
      <c r="D72" s="2503" t="s">
        <v>309</v>
      </c>
      <c r="E72" s="2503"/>
      <c r="F72" s="2504"/>
      <c r="G72" s="54" t="s">
        <v>18</v>
      </c>
      <c r="H72" s="2526"/>
      <c r="I72" s="2182"/>
      <c r="J72" s="2181"/>
      <c r="K72" s="2182"/>
      <c r="L72" s="55" t="s">
        <v>303</v>
      </c>
      <c r="M72" s="417">
        <v>36</v>
      </c>
      <c r="O72" s="48"/>
      <c r="P72" s="48"/>
      <c r="Q72" s="10"/>
    </row>
    <row r="73" spans="1:23" ht="12" customHeight="1" x14ac:dyDescent="0.2">
      <c r="A73" s="53"/>
      <c r="B73" s="2505" t="s">
        <v>301</v>
      </c>
      <c r="C73" s="2505"/>
      <c r="D73" s="2503" t="s">
        <v>310</v>
      </c>
      <c r="E73" s="2503"/>
      <c r="F73" s="2504"/>
      <c r="G73" s="56" t="s">
        <v>21</v>
      </c>
      <c r="H73" s="2526"/>
      <c r="I73" s="2182"/>
      <c r="J73" s="2181"/>
      <c r="K73" s="2182"/>
      <c r="L73" s="55" t="s">
        <v>304</v>
      </c>
      <c r="M73" s="418">
        <v>75</v>
      </c>
      <c r="O73" s="48"/>
      <c r="P73" s="48"/>
      <c r="Q73" s="10"/>
    </row>
    <row r="74" spans="1:23" ht="12" customHeight="1" x14ac:dyDescent="0.2">
      <c r="A74" s="413"/>
      <c r="B74" s="2505" t="s">
        <v>315</v>
      </c>
      <c r="C74" s="2505"/>
      <c r="D74" s="2503" t="s">
        <v>311</v>
      </c>
      <c r="E74" s="2503"/>
      <c r="F74" s="2504"/>
      <c r="G74" s="56" t="s">
        <v>23</v>
      </c>
      <c r="H74" s="2526"/>
      <c r="I74" s="2182"/>
      <c r="J74" s="2181"/>
      <c r="K74" s="2182"/>
      <c r="L74" s="55" t="s">
        <v>305</v>
      </c>
      <c r="M74" s="418">
        <v>250</v>
      </c>
      <c r="O74" s="48"/>
      <c r="P74" s="48"/>
      <c r="Q74" s="10"/>
    </row>
    <row r="75" spans="1:23" ht="12" customHeight="1" thickBot="1" x14ac:dyDescent="0.25">
      <c r="A75" s="57"/>
      <c r="B75" s="2506" t="s">
        <v>316</v>
      </c>
      <c r="C75" s="2506"/>
      <c r="D75" s="2516" t="s">
        <v>312</v>
      </c>
      <c r="E75" s="2516"/>
      <c r="F75" s="2517"/>
      <c r="G75" s="58" t="s">
        <v>25</v>
      </c>
      <c r="H75" s="2531"/>
      <c r="I75" s="2294"/>
      <c r="J75" s="2293"/>
      <c r="K75" s="2294"/>
      <c r="L75" s="59" t="s">
        <v>306</v>
      </c>
      <c r="M75" s="419">
        <v>750</v>
      </c>
      <c r="O75" s="2707" t="s">
        <v>405</v>
      </c>
      <c r="P75" s="2707"/>
      <c r="Q75" s="2707"/>
      <c r="R75" s="2707"/>
      <c r="S75" s="2707"/>
      <c r="T75" s="2707"/>
      <c r="U75" s="2707"/>
      <c r="V75" s="2707"/>
      <c r="W75" s="2707"/>
    </row>
    <row r="76" spans="1:23" ht="12" customHeight="1" thickTop="1" x14ac:dyDescent="0.2">
      <c r="A76" s="161" t="s">
        <v>3</v>
      </c>
      <c r="B76" s="2507" t="s">
        <v>299</v>
      </c>
      <c r="C76" s="2507"/>
      <c r="D76" s="328"/>
      <c r="E76" s="328"/>
      <c r="F76" s="172"/>
      <c r="G76" s="173"/>
      <c r="H76" s="2149" t="s">
        <v>58</v>
      </c>
      <c r="I76" s="2375"/>
      <c r="J76" s="2537" t="s">
        <v>45</v>
      </c>
      <c r="K76" s="2375"/>
      <c r="L76" s="2700" t="s">
        <v>46</v>
      </c>
      <c r="M76" s="2701"/>
      <c r="N76" s="60"/>
      <c r="O76" s="2686" t="s">
        <v>332</v>
      </c>
      <c r="P76" s="2687"/>
      <c r="Q76" s="2688"/>
      <c r="R76" s="2703" t="s">
        <v>406</v>
      </c>
      <c r="S76" s="2704"/>
      <c r="T76" s="2704"/>
      <c r="U76" s="2704"/>
      <c r="V76" s="2705"/>
    </row>
    <row r="77" spans="1:23" ht="12" customHeight="1" x14ac:dyDescent="0.2">
      <c r="A77" s="343"/>
      <c r="B77" s="2539" t="s">
        <v>47</v>
      </c>
      <c r="C77" s="2539"/>
      <c r="D77" s="337"/>
      <c r="E77" s="337"/>
      <c r="F77" s="61"/>
      <c r="G77" s="62" t="s">
        <v>16</v>
      </c>
      <c r="H77" s="2369" t="s">
        <v>289</v>
      </c>
      <c r="I77" s="2370"/>
      <c r="J77" s="2474">
        <v>0.75</v>
      </c>
      <c r="K77" s="2477"/>
      <c r="L77" s="2474">
        <v>6</v>
      </c>
      <c r="M77" s="2266"/>
      <c r="N77" s="63"/>
      <c r="O77" s="420">
        <v>15</v>
      </c>
      <c r="P77" s="218" t="s">
        <v>398</v>
      </c>
      <c r="Q77" s="214"/>
      <c r="R77" s="219" t="str">
        <f>B77</f>
        <v>No or few joints</v>
      </c>
      <c r="S77" s="219"/>
      <c r="T77" s="219"/>
      <c r="U77" s="220"/>
      <c r="V77" s="221"/>
      <c r="W77" s="65"/>
    </row>
    <row r="78" spans="1:23" ht="12" customHeight="1" x14ac:dyDescent="0.2">
      <c r="A78" s="343"/>
      <c r="B78" s="2487" t="s">
        <v>48</v>
      </c>
      <c r="C78" s="2487"/>
      <c r="D78" s="314"/>
      <c r="E78" s="314"/>
      <c r="F78" s="66"/>
      <c r="G78" s="331" t="s">
        <v>18</v>
      </c>
      <c r="H78" s="2371"/>
      <c r="I78" s="2372"/>
      <c r="J78" s="2470">
        <v>2</v>
      </c>
      <c r="K78" s="2471"/>
      <c r="L78" s="2470">
        <v>3</v>
      </c>
      <c r="M78" s="2119"/>
      <c r="O78" s="421">
        <v>5</v>
      </c>
      <c r="P78" s="222" t="s">
        <v>58</v>
      </c>
      <c r="Q78" s="223">
        <f t="shared" ref="Q78:Q84" si="5">O77</f>
        <v>15</v>
      </c>
      <c r="R78" s="224" t="str">
        <f t="shared" ref="R78:R84" si="6">B78</f>
        <v>1  joint set</v>
      </c>
      <c r="S78" s="224"/>
      <c r="T78" s="224"/>
      <c r="U78" s="225"/>
      <c r="V78" s="226"/>
      <c r="W78" s="65"/>
    </row>
    <row r="79" spans="1:23" ht="12" customHeight="1" x14ac:dyDescent="0.2">
      <c r="A79" s="343"/>
      <c r="B79" s="2487" t="s">
        <v>49</v>
      </c>
      <c r="C79" s="2487"/>
      <c r="D79" s="314"/>
      <c r="E79" s="314"/>
      <c r="F79" s="66"/>
      <c r="G79" s="331" t="s">
        <v>21</v>
      </c>
      <c r="H79" s="2371"/>
      <c r="I79" s="2372"/>
      <c r="J79" s="2470">
        <v>3</v>
      </c>
      <c r="K79" s="2471"/>
      <c r="L79" s="2470">
        <v>2</v>
      </c>
      <c r="M79" s="2119"/>
      <c r="O79" s="421">
        <v>1</v>
      </c>
      <c r="P79" s="222" t="s">
        <v>58</v>
      </c>
      <c r="Q79" s="223">
        <f t="shared" si="5"/>
        <v>5</v>
      </c>
      <c r="R79" s="224" t="str">
        <f t="shared" si="6"/>
        <v>1  joint set + random joints</v>
      </c>
      <c r="S79" s="224"/>
      <c r="T79" s="224"/>
      <c r="U79" s="225"/>
      <c r="V79" s="226"/>
    </row>
    <row r="80" spans="1:23" ht="12" customHeight="1" x14ac:dyDescent="0.2">
      <c r="A80" s="343"/>
      <c r="B80" s="2487" t="s">
        <v>50</v>
      </c>
      <c r="C80" s="2487"/>
      <c r="D80" s="314"/>
      <c r="E80" s="314"/>
      <c r="F80" s="66"/>
      <c r="G80" s="331" t="s">
        <v>23</v>
      </c>
      <c r="H80" s="2371"/>
      <c r="I80" s="2372"/>
      <c r="J80" s="2470">
        <v>4</v>
      </c>
      <c r="K80" s="2471"/>
      <c r="L80" s="2470">
        <v>1.5</v>
      </c>
      <c r="M80" s="2119"/>
      <c r="O80" s="421">
        <v>0.1</v>
      </c>
      <c r="P80" s="222" t="s">
        <v>58</v>
      </c>
      <c r="Q80" s="223">
        <f t="shared" si="5"/>
        <v>1</v>
      </c>
      <c r="R80" s="224" t="str">
        <f t="shared" si="6"/>
        <v>2  joint sets</v>
      </c>
      <c r="S80" s="224"/>
      <c r="T80" s="224"/>
      <c r="U80" s="225"/>
      <c r="V80" s="226"/>
      <c r="W80" s="65"/>
    </row>
    <row r="81" spans="1:32" ht="12" customHeight="1" x14ac:dyDescent="0.2">
      <c r="A81" s="343"/>
      <c r="B81" s="2487" t="s">
        <v>51</v>
      </c>
      <c r="C81" s="2487"/>
      <c r="D81" s="314"/>
      <c r="E81" s="314"/>
      <c r="F81" s="66"/>
      <c r="G81" s="331" t="s">
        <v>25</v>
      </c>
      <c r="H81" s="2371"/>
      <c r="I81" s="2372"/>
      <c r="J81" s="2470">
        <v>6</v>
      </c>
      <c r="K81" s="2471"/>
      <c r="L81" s="2470">
        <v>1.2</v>
      </c>
      <c r="M81" s="2119"/>
      <c r="O81" s="421">
        <v>0.01</v>
      </c>
      <c r="P81" s="222" t="s">
        <v>58</v>
      </c>
      <c r="Q81" s="223">
        <f t="shared" si="5"/>
        <v>0.1</v>
      </c>
      <c r="R81" s="224" t="str">
        <f t="shared" si="6"/>
        <v>2  joint sets + random joints</v>
      </c>
      <c r="S81" s="224"/>
      <c r="T81" s="224"/>
      <c r="U81" s="225"/>
      <c r="V81" s="226"/>
    </row>
    <row r="82" spans="1:32" ht="12" customHeight="1" x14ac:dyDescent="0.2">
      <c r="A82" s="343"/>
      <c r="B82" s="2487" t="s">
        <v>52</v>
      </c>
      <c r="C82" s="2487"/>
      <c r="D82" s="314"/>
      <c r="E82" s="314"/>
      <c r="F82" s="66"/>
      <c r="G82" s="990" t="s">
        <v>27</v>
      </c>
      <c r="H82" s="2371"/>
      <c r="I82" s="2372"/>
      <c r="J82" s="2538">
        <v>9</v>
      </c>
      <c r="K82" s="2353"/>
      <c r="L82" s="2538">
        <v>1</v>
      </c>
      <c r="M82" s="2277"/>
      <c r="O82" s="421">
        <v>1E-3</v>
      </c>
      <c r="P82" s="222" t="s">
        <v>58</v>
      </c>
      <c r="Q82" s="223">
        <f t="shared" si="5"/>
        <v>0.01</v>
      </c>
      <c r="R82" s="224" t="str">
        <f t="shared" si="6"/>
        <v>3  joint sets</v>
      </c>
      <c r="S82" s="224"/>
      <c r="T82" s="224"/>
      <c r="U82" s="225"/>
      <c r="V82" s="227"/>
      <c r="W82" s="65"/>
    </row>
    <row r="83" spans="1:32" ht="12" customHeight="1" x14ac:dyDescent="0.2">
      <c r="A83" s="343"/>
      <c r="B83" s="2487" t="s">
        <v>53</v>
      </c>
      <c r="C83" s="2487"/>
      <c r="D83" s="314"/>
      <c r="E83" s="314"/>
      <c r="F83" s="66"/>
      <c r="G83" s="331" t="s">
        <v>29</v>
      </c>
      <c r="H83" s="2371"/>
      <c r="I83" s="2372"/>
      <c r="J83" s="2470">
        <v>12</v>
      </c>
      <c r="K83" s="2471"/>
      <c r="L83" s="2470">
        <v>0.85</v>
      </c>
      <c r="M83" s="2119"/>
      <c r="O83" s="421">
        <v>1E-4</v>
      </c>
      <c r="P83" s="222" t="s">
        <v>58</v>
      </c>
      <c r="Q83" s="223">
        <f t="shared" si="5"/>
        <v>1E-3</v>
      </c>
      <c r="R83" s="224" t="str">
        <f t="shared" si="6"/>
        <v>3  joint sets + random joints</v>
      </c>
      <c r="S83" s="224"/>
      <c r="T83" s="224"/>
      <c r="U83" s="225"/>
      <c r="V83" s="227"/>
      <c r="W83" s="65"/>
    </row>
    <row r="84" spans="1:32" ht="12" customHeight="1" thickBot="1" x14ac:dyDescent="0.25">
      <c r="A84" s="413"/>
      <c r="B84" s="2487" t="s">
        <v>55</v>
      </c>
      <c r="C84" s="2487"/>
      <c r="D84" s="314"/>
      <c r="E84" s="314"/>
      <c r="F84" s="67"/>
      <c r="G84" s="331" t="s">
        <v>54</v>
      </c>
      <c r="H84" s="2371"/>
      <c r="I84" s="2372"/>
      <c r="J84" s="2470">
        <v>15</v>
      </c>
      <c r="K84" s="2471"/>
      <c r="L84" s="2470">
        <v>0.6</v>
      </c>
      <c r="M84" s="2119"/>
      <c r="N84" s="60"/>
      <c r="O84" s="422">
        <v>1.0000000000000001E-5</v>
      </c>
      <c r="P84" s="246" t="s">
        <v>58</v>
      </c>
      <c r="Q84" s="247">
        <f t="shared" si="5"/>
        <v>1E-4</v>
      </c>
      <c r="R84" s="248" t="str">
        <f t="shared" si="6"/>
        <v>4  joint sets or more; heavily jointed</v>
      </c>
      <c r="S84" s="248"/>
      <c r="T84" s="248"/>
      <c r="U84" s="249"/>
      <c r="V84" s="250"/>
      <c r="W84" s="65"/>
    </row>
    <row r="85" spans="1:32" ht="12" customHeight="1" thickTop="1" thickBot="1" x14ac:dyDescent="0.25">
      <c r="A85" s="68"/>
      <c r="B85" s="2534" t="s">
        <v>57</v>
      </c>
      <c r="C85" s="2534"/>
      <c r="D85" s="336"/>
      <c r="E85" s="336"/>
      <c r="F85" s="69"/>
      <c r="G85" s="70" t="s">
        <v>56</v>
      </c>
      <c r="H85" s="2532"/>
      <c r="I85" s="2533"/>
      <c r="J85" s="2535">
        <v>20</v>
      </c>
      <c r="K85" s="2536"/>
      <c r="L85" s="2682">
        <v>0.5</v>
      </c>
      <c r="M85" s="2683"/>
      <c r="N85" s="251"/>
      <c r="O85" s="2689" t="s">
        <v>171</v>
      </c>
      <c r="P85" s="2690"/>
      <c r="Q85" s="2693" t="s">
        <v>428</v>
      </c>
      <c r="R85" s="2694"/>
      <c r="S85" s="2694"/>
      <c r="T85" s="2694"/>
      <c r="U85" s="2694"/>
      <c r="V85" s="2695"/>
      <c r="W85" s="2306" t="s">
        <v>429</v>
      </c>
      <c r="X85" s="2307"/>
      <c r="Y85" s="2307"/>
      <c r="Z85" s="2307"/>
      <c r="AA85" s="2307"/>
      <c r="AB85" s="2308"/>
      <c r="AC85" s="2302" t="s">
        <v>330</v>
      </c>
      <c r="AD85" s="2303"/>
      <c r="AE85" s="2303"/>
      <c r="AF85" s="2304"/>
    </row>
    <row r="86" spans="1:32" ht="12" customHeight="1" thickTop="1" x14ac:dyDescent="0.2">
      <c r="A86" s="161" t="s">
        <v>313</v>
      </c>
      <c r="B86" s="2507" t="s">
        <v>344</v>
      </c>
      <c r="C86" s="2507"/>
      <c r="D86" s="2507"/>
      <c r="E86" s="2507"/>
      <c r="F86" s="2508"/>
      <c r="G86" s="174"/>
      <c r="H86" s="2363" t="s">
        <v>99</v>
      </c>
      <c r="I86" s="2515"/>
      <c r="J86" s="2295" t="s">
        <v>58</v>
      </c>
      <c r="K86" s="2296"/>
      <c r="L86" s="2624" t="s">
        <v>100</v>
      </c>
      <c r="M86" s="2121"/>
      <c r="N86" s="123"/>
      <c r="O86" s="2691"/>
      <c r="P86" s="2692"/>
      <c r="Q86" s="2696" t="s">
        <v>390</v>
      </c>
      <c r="R86" s="2336"/>
      <c r="S86" s="2697"/>
      <c r="T86" s="2336" t="s">
        <v>391</v>
      </c>
      <c r="U86" s="2336"/>
      <c r="V86" s="2337"/>
      <c r="W86" s="2280" t="s">
        <v>390</v>
      </c>
      <c r="X86" s="2281"/>
      <c r="Y86" s="2282"/>
      <c r="Z86" s="2309" t="s">
        <v>391</v>
      </c>
      <c r="AA86" s="2309"/>
      <c r="AB86" s="2310"/>
      <c r="AC86" s="234" t="s">
        <v>390</v>
      </c>
      <c r="AD86" s="2153" t="s">
        <v>391</v>
      </c>
      <c r="AE86" s="2154"/>
      <c r="AF86" s="2305"/>
    </row>
    <row r="87" spans="1:32" ht="12" customHeight="1" x14ac:dyDescent="0.2">
      <c r="A87" s="343"/>
      <c r="B87" s="2510" t="s">
        <v>101</v>
      </c>
      <c r="C87" s="2510"/>
      <c r="D87" s="335"/>
      <c r="E87" s="335"/>
      <c r="F87" s="341"/>
      <c r="G87" s="71" t="s">
        <v>16</v>
      </c>
      <c r="H87" s="2488">
        <v>0</v>
      </c>
      <c r="I87" s="2489"/>
      <c r="J87" s="2179" t="s">
        <v>289</v>
      </c>
      <c r="K87" s="2180"/>
      <c r="L87" s="2698">
        <v>1</v>
      </c>
      <c r="M87" s="2699"/>
      <c r="N87" s="229"/>
      <c r="O87" s="203" t="s">
        <v>101</v>
      </c>
      <c r="P87" s="204"/>
      <c r="Q87" s="240"/>
      <c r="R87" s="215" t="str">
        <f t="shared" ref="Q87:S92" si="7">R187</f>
        <v>&gt;</v>
      </c>
      <c r="S87" s="216">
        <f t="shared" si="7"/>
        <v>70</v>
      </c>
      <c r="T87" s="2684" t="s">
        <v>392</v>
      </c>
      <c r="U87" s="2684"/>
      <c r="V87" s="2685"/>
      <c r="W87" s="240"/>
      <c r="X87" s="215" t="str">
        <f t="shared" ref="X87:Y91" si="8">X187</f>
        <v>&gt;</v>
      </c>
      <c r="Y87" s="216">
        <f t="shared" si="8"/>
        <v>70</v>
      </c>
      <c r="Z87" s="2322" t="s">
        <v>392</v>
      </c>
      <c r="AA87" s="2322"/>
      <c r="AB87" s="2323"/>
      <c r="AC87" s="2244" t="s">
        <v>172</v>
      </c>
      <c r="AD87" s="423"/>
      <c r="AE87" s="424" t="str">
        <f t="shared" ref="AE87:AF89" si="9">AE187</f>
        <v>&gt;</v>
      </c>
      <c r="AF87" s="425">
        <f t="shared" si="9"/>
        <v>60</v>
      </c>
    </row>
    <row r="88" spans="1:32" ht="12" customHeight="1" x14ac:dyDescent="0.2">
      <c r="A88" s="343"/>
      <c r="B88" s="2487" t="s">
        <v>102</v>
      </c>
      <c r="C88" s="2487"/>
      <c r="D88" s="314"/>
      <c r="E88" s="314"/>
      <c r="F88" s="318"/>
      <c r="G88" s="990" t="s">
        <v>18</v>
      </c>
      <c r="H88" s="2513">
        <v>-2</v>
      </c>
      <c r="I88" s="2514"/>
      <c r="J88" s="2181"/>
      <c r="K88" s="2182"/>
      <c r="L88" s="2291">
        <v>1</v>
      </c>
      <c r="M88" s="2292"/>
      <c r="N88" s="229"/>
      <c r="O88" s="199" t="s">
        <v>102</v>
      </c>
      <c r="P88" s="200"/>
      <c r="Q88" s="243"/>
      <c r="R88" s="243" t="str">
        <f t="shared" si="7"/>
        <v>&lt;</v>
      </c>
      <c r="S88" s="232">
        <f t="shared" si="7"/>
        <v>20</v>
      </c>
      <c r="T88" s="243"/>
      <c r="U88" s="243" t="str">
        <f>U188</f>
        <v>&lt;</v>
      </c>
      <c r="V88" s="131">
        <f>V188</f>
        <v>20</v>
      </c>
      <c r="W88" s="241">
        <f>W188</f>
        <v>0</v>
      </c>
      <c r="X88" s="307" t="str">
        <f t="shared" si="8"/>
        <v>&lt;</v>
      </c>
      <c r="Y88" s="232">
        <f t="shared" si="8"/>
        <v>20</v>
      </c>
      <c r="Z88" s="2324" t="s">
        <v>392</v>
      </c>
      <c r="AA88" s="2324"/>
      <c r="AB88" s="2325"/>
      <c r="AC88" s="2245"/>
      <c r="AD88" s="426">
        <f>AD188</f>
        <v>45</v>
      </c>
      <c r="AE88" s="427" t="str">
        <f t="shared" si="9"/>
        <v xml:space="preserve"> -</v>
      </c>
      <c r="AF88" s="428">
        <f t="shared" si="9"/>
        <v>60</v>
      </c>
    </row>
    <row r="89" spans="1:32" ht="12" customHeight="1" x14ac:dyDescent="0.2">
      <c r="A89" s="343"/>
      <c r="B89" s="2487" t="s">
        <v>36</v>
      </c>
      <c r="C89" s="2487"/>
      <c r="D89" s="314"/>
      <c r="E89" s="314"/>
      <c r="F89" s="318"/>
      <c r="G89" s="331" t="s">
        <v>21</v>
      </c>
      <c r="H89" s="2511">
        <v>-5</v>
      </c>
      <c r="I89" s="2512"/>
      <c r="J89" s="2181"/>
      <c r="K89" s="2182"/>
      <c r="L89" s="2283">
        <v>1.5</v>
      </c>
      <c r="M89" s="2284"/>
      <c r="O89" s="2215" t="s">
        <v>36</v>
      </c>
      <c r="P89" s="2217"/>
      <c r="Q89" s="241"/>
      <c r="R89" s="205" t="str">
        <f t="shared" si="7"/>
        <v>&lt;</v>
      </c>
      <c r="S89" s="232">
        <f t="shared" si="7"/>
        <v>20</v>
      </c>
      <c r="T89" s="243">
        <f t="shared" ref="T89:V92" si="10">T189</f>
        <v>20</v>
      </c>
      <c r="U89" s="205" t="str">
        <f t="shared" si="10"/>
        <v>-</v>
      </c>
      <c r="V89" s="131">
        <f t="shared" si="10"/>
        <v>45</v>
      </c>
      <c r="W89" s="429"/>
      <c r="X89" s="307" t="str">
        <f t="shared" si="8"/>
        <v>&lt;</v>
      </c>
      <c r="Y89" s="430">
        <f t="shared" si="8"/>
        <v>20</v>
      </c>
      <c r="Z89" s="431"/>
      <c r="AA89" s="431" t="str">
        <f>AA189</f>
        <v>≤</v>
      </c>
      <c r="AB89" s="428">
        <f>AB189</f>
        <v>60</v>
      </c>
      <c r="AC89" s="2245"/>
      <c r="AD89" s="2278">
        <f>AD189</f>
        <v>30</v>
      </c>
      <c r="AE89" s="2297" t="str">
        <f t="shared" si="9"/>
        <v xml:space="preserve"> -</v>
      </c>
      <c r="AF89" s="2338">
        <f t="shared" si="9"/>
        <v>45</v>
      </c>
    </row>
    <row r="90" spans="1:32" ht="12" customHeight="1" x14ac:dyDescent="0.2">
      <c r="A90" s="413"/>
      <c r="B90" s="2487" t="s">
        <v>103</v>
      </c>
      <c r="C90" s="2487"/>
      <c r="D90" s="314"/>
      <c r="E90" s="314"/>
      <c r="F90" s="318"/>
      <c r="G90" s="331" t="s">
        <v>23</v>
      </c>
      <c r="H90" s="2511">
        <v>-10</v>
      </c>
      <c r="I90" s="2512"/>
      <c r="J90" s="2181"/>
      <c r="K90" s="2182"/>
      <c r="L90" s="2283">
        <v>2</v>
      </c>
      <c r="M90" s="2284"/>
      <c r="N90" s="230"/>
      <c r="O90" s="2216"/>
      <c r="P90" s="2218"/>
      <c r="Q90" s="243">
        <f t="shared" si="7"/>
        <v>20</v>
      </c>
      <c r="R90" s="205" t="str">
        <f t="shared" si="7"/>
        <v>-</v>
      </c>
      <c r="S90" s="232">
        <f t="shared" si="7"/>
        <v>70</v>
      </c>
      <c r="T90" s="239"/>
      <c r="U90" s="205" t="str">
        <f t="shared" si="10"/>
        <v>&lt;</v>
      </c>
      <c r="V90" s="131">
        <f t="shared" si="10"/>
        <v>45</v>
      </c>
      <c r="W90" s="307">
        <f>W190</f>
        <v>20</v>
      </c>
      <c r="X90" s="308" t="str">
        <f t="shared" si="8"/>
        <v>-</v>
      </c>
      <c r="Y90" s="430">
        <f t="shared" si="8"/>
        <v>70</v>
      </c>
      <c r="Z90" s="2199" t="str">
        <f>Z190</f>
        <v>all</v>
      </c>
      <c r="AA90" s="2200"/>
      <c r="AB90" s="2201"/>
      <c r="AC90" s="2245"/>
      <c r="AD90" s="2279"/>
      <c r="AE90" s="2298"/>
      <c r="AF90" s="2339"/>
    </row>
    <row r="91" spans="1:32" ht="12" customHeight="1" thickBot="1" x14ac:dyDescent="0.25">
      <c r="A91" s="25"/>
      <c r="B91" s="2584" t="s">
        <v>104</v>
      </c>
      <c r="C91" s="2584"/>
      <c r="D91" s="338"/>
      <c r="E91" s="338"/>
      <c r="F91" s="73"/>
      <c r="G91" s="74" t="s">
        <v>25</v>
      </c>
      <c r="H91" s="2576">
        <v>-12</v>
      </c>
      <c r="I91" s="2577"/>
      <c r="J91" s="2293"/>
      <c r="K91" s="2294"/>
      <c r="L91" s="2285">
        <v>3</v>
      </c>
      <c r="M91" s="2286"/>
      <c r="N91" s="230"/>
      <c r="O91" s="199" t="s">
        <v>103</v>
      </c>
      <c r="P91" s="200"/>
      <c r="Q91" s="241">
        <f>Q191</f>
        <v>20</v>
      </c>
      <c r="R91" s="205" t="str">
        <f t="shared" si="7"/>
        <v xml:space="preserve"> -</v>
      </c>
      <c r="S91" s="232">
        <f t="shared" si="7"/>
        <v>70</v>
      </c>
      <c r="T91" s="243">
        <f t="shared" si="10"/>
        <v>45</v>
      </c>
      <c r="U91" s="205" t="str">
        <f t="shared" si="10"/>
        <v>-</v>
      </c>
      <c r="V91" s="131">
        <f t="shared" si="10"/>
        <v>90</v>
      </c>
      <c r="W91" s="241"/>
      <c r="X91" s="307" t="str">
        <f t="shared" si="8"/>
        <v>&lt;</v>
      </c>
      <c r="Y91" s="430">
        <f t="shared" si="8"/>
        <v>20</v>
      </c>
      <c r="Z91" s="431">
        <f>Z191</f>
        <v>0</v>
      </c>
      <c r="AA91" s="431" t="str">
        <f>AA191</f>
        <v>&gt;</v>
      </c>
      <c r="AB91" s="432">
        <f>AB191</f>
        <v>60</v>
      </c>
      <c r="AC91" s="2245"/>
      <c r="AD91" s="426">
        <f>AD191</f>
        <v>15</v>
      </c>
      <c r="AE91" s="427" t="str">
        <f>AE191</f>
        <v xml:space="preserve"> -</v>
      </c>
      <c r="AF91" s="428">
        <f>AF191</f>
        <v>30</v>
      </c>
    </row>
    <row r="92" spans="1:32" ht="12" customHeight="1" thickBot="1" x14ac:dyDescent="0.25">
      <c r="A92" s="210"/>
      <c r="B92" s="75"/>
      <c r="C92" s="75"/>
      <c r="D92" s="75"/>
      <c r="E92" s="75"/>
      <c r="F92" s="75"/>
      <c r="G92" s="75"/>
      <c r="H92" s="76"/>
      <c r="I92" s="76"/>
      <c r="J92" s="76"/>
      <c r="K92" s="76"/>
      <c r="L92" s="77"/>
      <c r="M92" s="77"/>
      <c r="N92" s="231"/>
      <c r="O92" s="201" t="s">
        <v>104</v>
      </c>
      <c r="P92" s="202"/>
      <c r="Q92" s="242"/>
      <c r="R92" s="244" t="str">
        <f t="shared" si="7"/>
        <v>&lt;</v>
      </c>
      <c r="S92" s="237">
        <f t="shared" si="7"/>
        <v>20</v>
      </c>
      <c r="T92" s="244">
        <f t="shared" si="10"/>
        <v>45</v>
      </c>
      <c r="U92" s="306" t="str">
        <f t="shared" si="10"/>
        <v>-</v>
      </c>
      <c r="V92" s="238">
        <f t="shared" si="10"/>
        <v>90</v>
      </c>
      <c r="W92" s="242"/>
      <c r="X92" s="306" t="str">
        <f>X192</f>
        <v>-</v>
      </c>
      <c r="Y92" s="236"/>
      <c r="Z92" s="433"/>
      <c r="AA92" s="434" t="str">
        <f>AA192</f>
        <v>-</v>
      </c>
      <c r="AB92" s="435"/>
      <c r="AC92" s="2318"/>
      <c r="AD92" s="436"/>
      <c r="AE92" s="434" t="str">
        <f>AE192</f>
        <v>&lt;</v>
      </c>
      <c r="AF92" s="437">
        <f>AF192</f>
        <v>15</v>
      </c>
    </row>
    <row r="93" spans="1:32" ht="15" customHeight="1" x14ac:dyDescent="0.2">
      <c r="A93" s="21" t="s">
        <v>203</v>
      </c>
      <c r="B93" s="2498" t="s">
        <v>59</v>
      </c>
      <c r="C93" s="2498"/>
      <c r="D93" s="2498"/>
      <c r="E93" s="2498"/>
      <c r="F93" s="2499"/>
      <c r="G93" s="2130" t="s">
        <v>355</v>
      </c>
      <c r="H93" s="2289" t="s">
        <v>645</v>
      </c>
      <c r="I93" s="2290"/>
      <c r="J93" s="2289" t="s">
        <v>227</v>
      </c>
      <c r="K93" s="2290"/>
      <c r="L93" s="2287" t="s">
        <v>1</v>
      </c>
      <c r="M93" s="2288"/>
      <c r="O93" s="438"/>
      <c r="P93" s="438"/>
      <c r="Q93" s="438"/>
      <c r="R93" s="438"/>
      <c r="S93" s="438"/>
      <c r="T93" s="438"/>
      <c r="U93" s="438"/>
      <c r="V93" s="438"/>
      <c r="W93" s="438"/>
      <c r="X93" s="438"/>
      <c r="Y93" s="438"/>
      <c r="Z93" s="438"/>
      <c r="AA93" s="438"/>
      <c r="AB93" s="438"/>
      <c r="AC93" s="438"/>
      <c r="AD93" s="438"/>
      <c r="AE93" s="438"/>
    </row>
    <row r="94" spans="1:32" ht="12" customHeight="1" x14ac:dyDescent="0.2">
      <c r="A94" s="159" t="s">
        <v>8</v>
      </c>
      <c r="B94" s="2578" t="s">
        <v>441</v>
      </c>
      <c r="C94" s="2578"/>
      <c r="D94" s="2578"/>
      <c r="E94" s="2578"/>
      <c r="F94" s="2579"/>
      <c r="G94" s="2131"/>
      <c r="H94" s="2364" t="s">
        <v>60</v>
      </c>
      <c r="I94" s="2509"/>
      <c r="J94" s="2247" t="s">
        <v>61</v>
      </c>
      <c r="K94" s="2248"/>
      <c r="L94" s="2267" t="s">
        <v>62</v>
      </c>
      <c r="M94" s="2268"/>
      <c r="Z94" s="141"/>
      <c r="AA94" s="141"/>
      <c r="AB94" s="438"/>
      <c r="AC94" s="438"/>
      <c r="AD94" s="438"/>
      <c r="AE94" s="438"/>
    </row>
    <row r="95" spans="1:32" ht="12" customHeight="1" x14ac:dyDescent="0.2">
      <c r="A95" s="343"/>
      <c r="B95" s="2580" t="s">
        <v>361</v>
      </c>
      <c r="C95" s="2581"/>
      <c r="D95" s="2582"/>
      <c r="E95" s="2582"/>
      <c r="F95" s="2583"/>
      <c r="G95" s="42" t="s">
        <v>16</v>
      </c>
      <c r="H95" s="2147">
        <v>6</v>
      </c>
      <c r="I95" s="2148"/>
      <c r="J95" s="2147">
        <v>2</v>
      </c>
      <c r="K95" s="2148"/>
      <c r="L95" s="2147">
        <v>2</v>
      </c>
      <c r="M95" s="2266"/>
      <c r="Z95" s="17"/>
      <c r="AA95" s="17"/>
      <c r="AB95" s="438"/>
      <c r="AC95" s="438"/>
      <c r="AD95" s="438"/>
      <c r="AE95" s="438"/>
    </row>
    <row r="96" spans="1:32" ht="12" customHeight="1" x14ac:dyDescent="0.2">
      <c r="A96" s="343"/>
      <c r="B96" s="2629" t="s">
        <v>63</v>
      </c>
      <c r="C96" s="2491"/>
      <c r="D96" s="2630"/>
      <c r="E96" s="2630"/>
      <c r="F96" s="2631"/>
      <c r="G96" s="44" t="s">
        <v>18</v>
      </c>
      <c r="H96" s="2118">
        <v>5</v>
      </c>
      <c r="I96" s="2249"/>
      <c r="J96" s="2118">
        <v>1.5</v>
      </c>
      <c r="K96" s="2249"/>
      <c r="L96" s="2118">
        <v>1.5</v>
      </c>
      <c r="M96" s="2119"/>
      <c r="Z96" s="17"/>
      <c r="AA96" s="17"/>
      <c r="AB96" s="438"/>
      <c r="AC96" s="438"/>
      <c r="AD96" s="438"/>
      <c r="AE96" s="438"/>
    </row>
    <row r="97" spans="1:31" ht="12" customHeight="1" x14ac:dyDescent="0.2">
      <c r="A97" s="343"/>
      <c r="B97" s="2629" t="s">
        <v>64</v>
      </c>
      <c r="C97" s="2491"/>
      <c r="D97" s="2630"/>
      <c r="E97" s="2630"/>
      <c r="F97" s="2631"/>
      <c r="G97" s="991" t="s">
        <v>21</v>
      </c>
      <c r="H97" s="2138">
        <v>3</v>
      </c>
      <c r="I97" s="2139"/>
      <c r="J97" s="2138">
        <v>1.25</v>
      </c>
      <c r="K97" s="2139"/>
      <c r="L97" s="2138">
        <v>1.25</v>
      </c>
      <c r="M97" s="2277"/>
      <c r="Z97" s="17"/>
      <c r="AA97" s="17"/>
      <c r="AB97" s="438"/>
      <c r="AC97" s="438"/>
      <c r="AD97" s="438"/>
      <c r="AE97" s="438"/>
    </row>
    <row r="98" spans="1:31" ht="12" customHeight="1" x14ac:dyDescent="0.2">
      <c r="A98" s="343"/>
      <c r="B98" s="2629" t="s">
        <v>65</v>
      </c>
      <c r="C98" s="2491"/>
      <c r="D98" s="2630"/>
      <c r="E98" s="2630"/>
      <c r="F98" s="2631"/>
      <c r="G98" s="44" t="s">
        <v>23</v>
      </c>
      <c r="H98" s="2118">
        <v>1</v>
      </c>
      <c r="I98" s="2249"/>
      <c r="J98" s="2118">
        <v>1</v>
      </c>
      <c r="K98" s="2249"/>
      <c r="L98" s="2118">
        <v>1</v>
      </c>
      <c r="M98" s="2119"/>
    </row>
    <row r="99" spans="1:31" ht="12" customHeight="1" x14ac:dyDescent="0.2">
      <c r="A99" s="413"/>
      <c r="B99" s="2629" t="s">
        <v>66</v>
      </c>
      <c r="C99" s="2491"/>
      <c r="D99" s="2630"/>
      <c r="E99" s="2630"/>
      <c r="F99" s="2631"/>
      <c r="G99" s="44" t="s">
        <v>25</v>
      </c>
      <c r="H99" s="2118">
        <v>0</v>
      </c>
      <c r="I99" s="2249"/>
      <c r="J99" s="2118">
        <v>0.75</v>
      </c>
      <c r="K99" s="2249"/>
      <c r="L99" s="2118">
        <v>0.75</v>
      </c>
      <c r="M99" s="2119"/>
    </row>
    <row r="100" spans="1:31" ht="12" customHeight="1" x14ac:dyDescent="0.2">
      <c r="A100" s="343"/>
      <c r="B100" s="2629" t="s">
        <v>67</v>
      </c>
      <c r="C100" s="2491"/>
      <c r="D100" s="2630"/>
      <c r="E100" s="2630"/>
      <c r="F100" s="2631"/>
      <c r="G100" s="78" t="s">
        <v>27</v>
      </c>
      <c r="H100" s="2118">
        <v>0</v>
      </c>
      <c r="I100" s="2249"/>
      <c r="J100" s="2118">
        <v>0.5</v>
      </c>
      <c r="K100" s="2249"/>
      <c r="L100" s="2118">
        <v>0.5</v>
      </c>
      <c r="M100" s="2119"/>
    </row>
    <row r="101" spans="1:31" ht="12" customHeight="1" thickBot="1" x14ac:dyDescent="0.25">
      <c r="A101" s="68"/>
      <c r="B101" s="75" t="s">
        <v>360</v>
      </c>
      <c r="C101" s="75"/>
      <c r="D101" s="75"/>
      <c r="E101" s="75"/>
      <c r="F101" s="79"/>
      <c r="G101" s="80" t="s">
        <v>29</v>
      </c>
      <c r="H101" s="2116">
        <v>0</v>
      </c>
      <c r="I101" s="2117"/>
      <c r="J101" s="2116">
        <v>1</v>
      </c>
      <c r="K101" s="2117"/>
      <c r="L101" s="2116">
        <v>1</v>
      </c>
      <c r="M101" s="2486"/>
    </row>
    <row r="102" spans="1:31" ht="12" customHeight="1" thickTop="1" x14ac:dyDescent="0.15">
      <c r="A102" s="161" t="s">
        <v>9</v>
      </c>
      <c r="B102" s="2404" t="s">
        <v>296</v>
      </c>
      <c r="C102" s="2404"/>
      <c r="D102" s="2404"/>
      <c r="E102" s="2404"/>
      <c r="F102" s="2553"/>
      <c r="G102" s="175"/>
      <c r="H102" s="2149" t="s">
        <v>58</v>
      </c>
      <c r="I102" s="2150"/>
      <c r="J102" s="2261" t="s">
        <v>68</v>
      </c>
      <c r="K102" s="2542"/>
      <c r="L102" s="2261" t="s">
        <v>69</v>
      </c>
      <c r="M102" s="2262"/>
    </row>
    <row r="103" spans="1:31" ht="12" customHeight="1" x14ac:dyDescent="0.2">
      <c r="A103" s="343"/>
      <c r="B103" s="2580" t="s">
        <v>240</v>
      </c>
      <c r="C103" s="2581"/>
      <c r="D103" s="2582"/>
      <c r="E103" s="2582"/>
      <c r="F103" s="2583"/>
      <c r="G103" s="81" t="s">
        <v>16</v>
      </c>
      <c r="H103" s="2369" t="s">
        <v>289</v>
      </c>
      <c r="I103" s="2632"/>
      <c r="J103" s="2485">
        <v>4</v>
      </c>
      <c r="K103" s="2148"/>
      <c r="L103" s="2484">
        <v>4</v>
      </c>
      <c r="M103" s="2276"/>
    </row>
    <row r="104" spans="1:31" ht="12" customHeight="1" x14ac:dyDescent="0.2">
      <c r="A104" s="343"/>
      <c r="B104" s="2629" t="s">
        <v>70</v>
      </c>
      <c r="C104" s="2491"/>
      <c r="D104" s="2630"/>
      <c r="E104" s="2630"/>
      <c r="F104" s="2631"/>
      <c r="G104" s="82" t="s">
        <v>18</v>
      </c>
      <c r="H104" s="2371"/>
      <c r="I104" s="2633"/>
      <c r="J104" s="2483">
        <v>2.5</v>
      </c>
      <c r="K104" s="2249"/>
      <c r="L104" s="2118">
        <v>2.5</v>
      </c>
      <c r="M104" s="2119"/>
    </row>
    <row r="105" spans="1:31" ht="12" customHeight="1" x14ac:dyDescent="0.2">
      <c r="A105" s="343"/>
      <c r="B105" s="2629" t="s">
        <v>71</v>
      </c>
      <c r="C105" s="2491"/>
      <c r="D105" s="2630"/>
      <c r="E105" s="2630"/>
      <c r="F105" s="2631"/>
      <c r="G105" s="82" t="s">
        <v>21</v>
      </c>
      <c r="H105" s="2371"/>
      <c r="I105" s="2633"/>
      <c r="J105" s="2483">
        <v>2</v>
      </c>
      <c r="K105" s="2249"/>
      <c r="L105" s="2118">
        <v>2</v>
      </c>
      <c r="M105" s="2119"/>
    </row>
    <row r="106" spans="1:31" ht="12" customHeight="1" x14ac:dyDescent="0.2">
      <c r="A106" s="413"/>
      <c r="B106" s="2629" t="s">
        <v>72</v>
      </c>
      <c r="C106" s="2491"/>
      <c r="D106" s="2630"/>
      <c r="E106" s="2630"/>
      <c r="F106" s="2631"/>
      <c r="G106" s="992" t="s">
        <v>23</v>
      </c>
      <c r="H106" s="2371"/>
      <c r="I106" s="2633"/>
      <c r="J106" s="2492">
        <v>1.4</v>
      </c>
      <c r="K106" s="2139"/>
      <c r="L106" s="2138">
        <v>1.4</v>
      </c>
      <c r="M106" s="2277"/>
    </row>
    <row r="107" spans="1:31" ht="12" customHeight="1" x14ac:dyDescent="0.2">
      <c r="A107" s="343"/>
      <c r="B107" s="2640" t="s">
        <v>73</v>
      </c>
      <c r="C107" s="2641"/>
      <c r="D107" s="2641"/>
      <c r="E107" s="2641"/>
      <c r="F107" s="2642"/>
      <c r="G107" s="82" t="s">
        <v>25</v>
      </c>
      <c r="H107" s="2371"/>
      <c r="I107" s="2633"/>
      <c r="J107" s="2118">
        <v>1</v>
      </c>
      <c r="K107" s="2249"/>
      <c r="L107" s="2118">
        <v>1</v>
      </c>
      <c r="M107" s="2119"/>
    </row>
    <row r="108" spans="1:31" ht="12" customHeight="1" x14ac:dyDescent="0.2">
      <c r="A108" s="344"/>
      <c r="B108" s="75" t="s">
        <v>360</v>
      </c>
      <c r="C108" s="75"/>
      <c r="D108" s="75"/>
      <c r="E108" s="75"/>
      <c r="F108" s="83"/>
      <c r="G108" s="84" t="s">
        <v>29</v>
      </c>
      <c r="H108" s="2373"/>
      <c r="I108" s="2634"/>
      <c r="J108" s="2638">
        <v>1</v>
      </c>
      <c r="K108" s="2639"/>
      <c r="L108" s="2649">
        <v>1</v>
      </c>
      <c r="M108" s="2650"/>
    </row>
    <row r="109" spans="1:31" ht="12" customHeight="1" thickBot="1" x14ac:dyDescent="0.25">
      <c r="A109" s="85"/>
      <c r="B109" s="2654" t="s">
        <v>258</v>
      </c>
      <c r="C109" s="2654"/>
      <c r="D109" s="339"/>
      <c r="E109" s="339"/>
      <c r="F109" s="2643" t="s">
        <v>362</v>
      </c>
      <c r="G109" s="2643"/>
      <c r="H109" s="2643"/>
      <c r="I109" s="2643"/>
      <c r="J109" s="2643"/>
      <c r="K109" s="2643"/>
      <c r="L109" s="2643"/>
      <c r="M109" s="2644"/>
    </row>
    <row r="110" spans="1:31" ht="12" customHeight="1" thickTop="1" x14ac:dyDescent="0.15">
      <c r="A110" s="161" t="s">
        <v>10</v>
      </c>
      <c r="B110" s="2136" t="s">
        <v>233</v>
      </c>
      <c r="C110" s="2136"/>
      <c r="D110" s="2136"/>
      <c r="E110" s="2136"/>
      <c r="F110" s="2137"/>
      <c r="G110" s="174"/>
      <c r="H110" s="2392" t="s">
        <v>74</v>
      </c>
      <c r="I110" s="2394"/>
      <c r="J110" s="2392" t="s">
        <v>75</v>
      </c>
      <c r="K110" s="2394"/>
      <c r="L110" s="2392" t="s">
        <v>76</v>
      </c>
      <c r="M110" s="2393"/>
      <c r="N110" s="86"/>
    </row>
    <row r="111" spans="1:31" ht="12" customHeight="1" x14ac:dyDescent="0.2">
      <c r="A111" s="2653" t="s">
        <v>219</v>
      </c>
      <c r="B111" s="2398" t="s">
        <v>77</v>
      </c>
      <c r="C111" s="2399"/>
      <c r="D111" s="2400"/>
      <c r="E111" s="2400"/>
      <c r="F111" s="2401"/>
      <c r="G111" s="87" t="s">
        <v>16</v>
      </c>
      <c r="H111" s="2147">
        <v>6</v>
      </c>
      <c r="I111" s="2148"/>
      <c r="J111" s="2390">
        <v>0.75</v>
      </c>
      <c r="K111" s="2635"/>
      <c r="L111" s="2390">
        <v>0.75</v>
      </c>
      <c r="M111" s="2391"/>
      <c r="N111" s="88"/>
    </row>
    <row r="112" spans="1:31" ht="12" customHeight="1" x14ac:dyDescent="0.2">
      <c r="A112" s="2653"/>
      <c r="B112" s="2143" t="s">
        <v>439</v>
      </c>
      <c r="C112" s="2144"/>
      <c r="D112" s="2145"/>
      <c r="E112" s="2145"/>
      <c r="F112" s="2146"/>
      <c r="G112" s="990" t="s">
        <v>18</v>
      </c>
      <c r="H112" s="2138">
        <v>6</v>
      </c>
      <c r="I112" s="2139"/>
      <c r="J112" s="2138">
        <v>1</v>
      </c>
      <c r="K112" s="2139"/>
      <c r="L112" s="2138">
        <v>1</v>
      </c>
      <c r="M112" s="2277"/>
      <c r="N112" s="88"/>
    </row>
    <row r="113" spans="1:24" ht="12" customHeight="1" x14ac:dyDescent="0.2">
      <c r="A113" s="2653"/>
      <c r="B113" s="2143" t="s">
        <v>78</v>
      </c>
      <c r="C113" s="2144"/>
      <c r="D113" s="2145"/>
      <c r="E113" s="2145"/>
      <c r="F113" s="2146"/>
      <c r="G113" s="89" t="s">
        <v>21</v>
      </c>
      <c r="H113" s="2118">
        <v>5</v>
      </c>
      <c r="I113" s="2249"/>
      <c r="J113" s="2118">
        <v>2</v>
      </c>
      <c r="K113" s="2249"/>
      <c r="L113" s="2118">
        <v>2</v>
      </c>
      <c r="M113" s="2119"/>
      <c r="N113" s="88"/>
    </row>
    <row r="114" spans="1:24" ht="12" customHeight="1" x14ac:dyDescent="0.2">
      <c r="A114" s="2653"/>
      <c r="B114" s="2143" t="s">
        <v>430</v>
      </c>
      <c r="C114" s="2144"/>
      <c r="D114" s="2145"/>
      <c r="E114" s="2145"/>
      <c r="F114" s="2146"/>
      <c r="G114" s="89" t="s">
        <v>23</v>
      </c>
      <c r="H114" s="2118">
        <v>3</v>
      </c>
      <c r="I114" s="2249"/>
      <c r="J114" s="2118">
        <v>4</v>
      </c>
      <c r="K114" s="2249"/>
      <c r="L114" s="2118">
        <v>4</v>
      </c>
      <c r="M114" s="2119"/>
      <c r="N114" s="88"/>
    </row>
    <row r="115" spans="1:24" ht="12" customHeight="1" x14ac:dyDescent="0.2">
      <c r="A115" s="2653"/>
      <c r="B115" s="2143" t="s">
        <v>349</v>
      </c>
      <c r="C115" s="2144"/>
      <c r="D115" s="2145"/>
      <c r="E115" s="2145"/>
      <c r="F115" s="2146"/>
      <c r="G115" s="89" t="s">
        <v>25</v>
      </c>
      <c r="H115" s="2118">
        <v>1</v>
      </c>
      <c r="I115" s="2249"/>
      <c r="J115" s="2118">
        <v>3</v>
      </c>
      <c r="K115" s="2249"/>
      <c r="L115" s="2118">
        <v>3</v>
      </c>
      <c r="M115" s="2119"/>
      <c r="N115" s="88"/>
      <c r="O115" s="2461" t="s">
        <v>255</v>
      </c>
      <c r="P115" s="2462"/>
      <c r="Q115" s="2462"/>
      <c r="R115" s="2463"/>
      <c r="S115" s="8"/>
      <c r="T115" s="8"/>
    </row>
    <row r="116" spans="1:24" ht="12" customHeight="1" x14ac:dyDescent="0.2">
      <c r="A116" s="2653"/>
      <c r="B116" s="2648" t="s">
        <v>348</v>
      </c>
      <c r="C116" s="2144"/>
      <c r="D116" s="2145"/>
      <c r="E116" s="2145"/>
      <c r="F116" s="2146"/>
      <c r="G116" s="256" t="s">
        <v>27</v>
      </c>
      <c r="H116" s="2271">
        <v>0</v>
      </c>
      <c r="I116" s="2645"/>
      <c r="J116" s="2271">
        <v>4</v>
      </c>
      <c r="K116" s="2645"/>
      <c r="L116" s="2271">
        <v>4</v>
      </c>
      <c r="M116" s="2272"/>
      <c r="N116" s="88"/>
      <c r="O116" s="2464"/>
      <c r="P116" s="2465"/>
      <c r="Q116" s="2465"/>
      <c r="R116" s="2466"/>
      <c r="S116" s="8"/>
      <c r="T116" s="8"/>
    </row>
    <row r="117" spans="1:24" ht="9" customHeight="1" x14ac:dyDescent="0.15">
      <c r="A117" s="2665" t="s">
        <v>266</v>
      </c>
      <c r="B117" s="2112" t="s">
        <v>225</v>
      </c>
      <c r="C117" s="2113"/>
      <c r="D117" s="340"/>
      <c r="E117" s="340"/>
      <c r="F117" s="176"/>
      <c r="G117" s="177"/>
      <c r="H117" s="2646" t="s">
        <v>79</v>
      </c>
      <c r="I117" s="2647"/>
      <c r="J117" s="2636" t="s">
        <v>268</v>
      </c>
      <c r="K117" s="2475" t="s">
        <v>269</v>
      </c>
      <c r="L117" s="2423" t="s">
        <v>76</v>
      </c>
      <c r="M117" s="2424"/>
      <c r="O117" s="2219" t="s">
        <v>358</v>
      </c>
      <c r="P117" s="2220"/>
      <c r="Q117" s="2457" t="s">
        <v>359</v>
      </c>
      <c r="R117" s="2458"/>
      <c r="S117" s="194"/>
      <c r="T117" s="194"/>
    </row>
    <row r="118" spans="1:24" ht="8.25" customHeight="1" x14ac:dyDescent="0.15">
      <c r="A118" s="2666"/>
      <c r="B118" s="2114"/>
      <c r="C118" s="2115"/>
      <c r="D118" s="2667" t="s">
        <v>224</v>
      </c>
      <c r="E118" s="2667"/>
      <c r="F118" s="2668"/>
      <c r="G118" s="178"/>
      <c r="H118" s="257" t="s">
        <v>213</v>
      </c>
      <c r="I118" s="258" t="s">
        <v>214</v>
      </c>
      <c r="J118" s="2637"/>
      <c r="K118" s="2476"/>
      <c r="L118" s="179" t="s">
        <v>363</v>
      </c>
      <c r="M118" s="180" t="s">
        <v>364</v>
      </c>
      <c r="N118" s="64"/>
      <c r="O118" s="2221"/>
      <c r="P118" s="2222"/>
      <c r="Q118" s="2459"/>
      <c r="R118" s="2460"/>
      <c r="S118" s="194"/>
      <c r="T118" s="194"/>
    </row>
    <row r="119" spans="1:24" ht="12" customHeight="1" x14ac:dyDescent="0.2">
      <c r="A119" s="2666"/>
      <c r="B119" s="2143" t="s">
        <v>81</v>
      </c>
      <c r="C119" s="2144"/>
      <c r="D119" s="2145"/>
      <c r="E119" s="2145"/>
      <c r="F119" s="2146"/>
      <c r="G119" s="89" t="s">
        <v>220</v>
      </c>
      <c r="H119" s="439">
        <v>5</v>
      </c>
      <c r="I119" s="440">
        <v>2</v>
      </c>
      <c r="J119" s="441">
        <v>4</v>
      </c>
      <c r="K119" s="442">
        <v>8</v>
      </c>
      <c r="L119" s="441">
        <v>4</v>
      </c>
      <c r="M119" s="443">
        <v>8</v>
      </c>
      <c r="N119" s="411" t="s">
        <v>273</v>
      </c>
      <c r="O119" s="2213">
        <v>4</v>
      </c>
      <c r="P119" s="2214"/>
      <c r="Q119" s="2455" t="s">
        <v>196</v>
      </c>
      <c r="R119" s="2456"/>
      <c r="S119" s="193"/>
      <c r="T119" s="193"/>
      <c r="U119" s="2156"/>
      <c r="V119" s="2156"/>
      <c r="W119" s="2156"/>
      <c r="X119" s="2156"/>
    </row>
    <row r="120" spans="1:24" ht="12" customHeight="1" x14ac:dyDescent="0.2">
      <c r="A120" s="2666"/>
      <c r="B120" s="2143" t="s">
        <v>257</v>
      </c>
      <c r="C120" s="2144"/>
      <c r="D120" s="2145"/>
      <c r="E120" s="2145"/>
      <c r="F120" s="2146"/>
      <c r="G120" s="89" t="s">
        <v>221</v>
      </c>
      <c r="H120" s="444">
        <v>4</v>
      </c>
      <c r="I120" s="442">
        <v>2</v>
      </c>
      <c r="J120" s="441">
        <v>6</v>
      </c>
      <c r="K120" s="442">
        <v>8</v>
      </c>
      <c r="L120" s="441">
        <v>6</v>
      </c>
      <c r="M120" s="443">
        <v>8</v>
      </c>
      <c r="N120" s="411" t="s">
        <v>273</v>
      </c>
      <c r="O120" s="2202">
        <v>6</v>
      </c>
      <c r="P120" s="2203"/>
      <c r="Q120" s="2211" t="s">
        <v>193</v>
      </c>
      <c r="R120" s="2212"/>
      <c r="S120" s="193"/>
      <c r="T120" s="193"/>
      <c r="U120" s="2156"/>
      <c r="V120" s="2156"/>
      <c r="W120" s="2156"/>
      <c r="X120" s="2156"/>
    </row>
    <row r="121" spans="1:24" ht="12" customHeight="1" x14ac:dyDescent="0.2">
      <c r="A121" s="413"/>
      <c r="B121" s="2143" t="s">
        <v>277</v>
      </c>
      <c r="C121" s="2144"/>
      <c r="D121" s="2145"/>
      <c r="E121" s="2145"/>
      <c r="F121" s="2146"/>
      <c r="G121" s="89" t="s">
        <v>222</v>
      </c>
      <c r="H121" s="444">
        <v>2</v>
      </c>
      <c r="I121" s="442">
        <v>0</v>
      </c>
      <c r="J121" s="441">
        <v>8</v>
      </c>
      <c r="K121" s="442">
        <v>12</v>
      </c>
      <c r="L121" s="441">
        <v>8</v>
      </c>
      <c r="M121" s="443">
        <v>12</v>
      </c>
      <c r="N121" s="411" t="s">
        <v>273</v>
      </c>
      <c r="O121" s="2202">
        <v>8</v>
      </c>
      <c r="P121" s="2203"/>
      <c r="Q121" s="2211">
        <v>12</v>
      </c>
      <c r="R121" s="2212"/>
      <c r="S121" s="193"/>
      <c r="T121" s="193"/>
      <c r="U121" s="2157"/>
      <c r="V121" s="2157"/>
      <c r="W121" s="2157"/>
      <c r="X121" s="2157"/>
    </row>
    <row r="122" spans="1:24" ht="12" customHeight="1" x14ac:dyDescent="0.2">
      <c r="A122" s="90"/>
      <c r="B122" s="2108" t="s">
        <v>82</v>
      </c>
      <c r="C122" s="2109"/>
      <c r="D122" s="2110"/>
      <c r="E122" s="2110"/>
      <c r="F122" s="2111"/>
      <c r="G122" s="91" t="s">
        <v>223</v>
      </c>
      <c r="H122" s="445">
        <v>0</v>
      </c>
      <c r="I122" s="446">
        <v>0</v>
      </c>
      <c r="J122" s="447">
        <v>10</v>
      </c>
      <c r="K122" s="448">
        <v>18</v>
      </c>
      <c r="L122" s="447">
        <v>10</v>
      </c>
      <c r="M122" s="449">
        <v>18</v>
      </c>
      <c r="N122" s="412" t="s">
        <v>273</v>
      </c>
      <c r="O122" s="2453" t="s">
        <v>194</v>
      </c>
      <c r="P122" s="2454"/>
      <c r="Q122" s="2204" t="s">
        <v>195</v>
      </c>
      <c r="R122" s="2205"/>
      <c r="S122" s="193"/>
      <c r="T122" s="193"/>
      <c r="U122" s="2156"/>
      <c r="V122" s="2156"/>
      <c r="W122" s="2156"/>
      <c r="X122" s="2156"/>
    </row>
    <row r="123" spans="1:24" ht="12.75" customHeight="1" x14ac:dyDescent="0.15">
      <c r="A123" s="191"/>
      <c r="B123" s="2140" t="s">
        <v>415</v>
      </c>
      <c r="C123" s="2141"/>
      <c r="D123" s="2141"/>
      <c r="E123" s="2141"/>
      <c r="F123" s="2141"/>
      <c r="G123" s="2141"/>
      <c r="H123" s="2141"/>
      <c r="I123" s="2141"/>
      <c r="J123" s="2141"/>
      <c r="K123" s="2141"/>
      <c r="L123" s="2141"/>
      <c r="M123" s="2142"/>
      <c r="N123" s="92"/>
    </row>
    <row r="124" spans="1:24" ht="12" customHeight="1" thickBot="1" x14ac:dyDescent="0.25">
      <c r="A124" s="93"/>
      <c r="B124" s="2164" t="s">
        <v>226</v>
      </c>
      <c r="C124" s="2164"/>
      <c r="D124" s="2164"/>
      <c r="E124" s="2164"/>
      <c r="F124" s="2164"/>
      <c r="G124" s="2164"/>
      <c r="H124" s="2164"/>
      <c r="I124" s="2164"/>
      <c r="J124" s="2164"/>
      <c r="K124" s="2164"/>
      <c r="L124" s="2164"/>
      <c r="M124" s="2165"/>
      <c r="N124" s="94"/>
    </row>
    <row r="125" spans="1:24" ht="12" customHeight="1" thickTop="1" x14ac:dyDescent="0.2">
      <c r="A125" s="161" t="s">
        <v>231</v>
      </c>
      <c r="B125" s="2354" t="s">
        <v>228</v>
      </c>
      <c r="C125" s="2354"/>
      <c r="D125" s="2354"/>
      <c r="E125" s="2354"/>
      <c r="F125" s="2397"/>
      <c r="G125" s="181"/>
      <c r="H125" s="2247" t="s">
        <v>83</v>
      </c>
      <c r="I125" s="2177"/>
      <c r="J125" s="2537" t="s">
        <v>58</v>
      </c>
      <c r="K125" s="2375"/>
      <c r="L125" s="2177" t="s">
        <v>84</v>
      </c>
      <c r="M125" s="2178"/>
    </row>
    <row r="126" spans="1:24" ht="12" customHeight="1" x14ac:dyDescent="0.2">
      <c r="A126" s="342"/>
      <c r="B126" s="2398" t="s">
        <v>416</v>
      </c>
      <c r="C126" s="2399"/>
      <c r="D126" s="2669" t="s">
        <v>208</v>
      </c>
      <c r="E126" s="2670"/>
      <c r="F126" s="2671"/>
      <c r="G126" s="95" t="s">
        <v>16</v>
      </c>
      <c r="H126" s="2484">
        <v>8</v>
      </c>
      <c r="I126" s="2672"/>
      <c r="J126" s="2677" t="s">
        <v>289</v>
      </c>
      <c r="K126" s="2370"/>
      <c r="L126" s="2275">
        <v>5</v>
      </c>
      <c r="M126" s="2276"/>
    </row>
    <row r="127" spans="1:24" ht="12" customHeight="1" x14ac:dyDescent="0.2">
      <c r="A127" s="343"/>
      <c r="B127" s="2143" t="s">
        <v>85</v>
      </c>
      <c r="C127" s="2144"/>
      <c r="D127" s="2185" t="s">
        <v>86</v>
      </c>
      <c r="E127" s="2186"/>
      <c r="F127" s="2187"/>
      <c r="G127" s="89" t="s">
        <v>18</v>
      </c>
      <c r="H127" s="2378">
        <v>6</v>
      </c>
      <c r="I127" s="2379"/>
      <c r="J127" s="2678"/>
      <c r="K127" s="2372"/>
      <c r="L127" s="2160">
        <v>3</v>
      </c>
      <c r="M127" s="2161"/>
    </row>
    <row r="128" spans="1:24" ht="12" customHeight="1" x14ac:dyDescent="0.2">
      <c r="A128" s="343"/>
      <c r="B128" s="2143" t="s">
        <v>87</v>
      </c>
      <c r="C128" s="2144"/>
      <c r="D128" s="2185" t="s">
        <v>88</v>
      </c>
      <c r="E128" s="2186"/>
      <c r="F128" s="2187"/>
      <c r="G128" s="89" t="s">
        <v>21</v>
      </c>
      <c r="H128" s="2378"/>
      <c r="I128" s="2379"/>
      <c r="J128" s="2678"/>
      <c r="K128" s="2372"/>
      <c r="L128" s="2160">
        <v>2</v>
      </c>
      <c r="M128" s="2161"/>
    </row>
    <row r="129" spans="1:16" ht="12" customHeight="1" x14ac:dyDescent="0.2">
      <c r="A129" s="343"/>
      <c r="B129" s="2143" t="s">
        <v>89</v>
      </c>
      <c r="C129" s="2144"/>
      <c r="D129" s="2185" t="s">
        <v>90</v>
      </c>
      <c r="E129" s="2186"/>
      <c r="F129" s="2187"/>
      <c r="G129" s="89" t="s">
        <v>23</v>
      </c>
      <c r="H129" s="2378">
        <v>4</v>
      </c>
      <c r="I129" s="2379"/>
      <c r="J129" s="2678"/>
      <c r="K129" s="2372"/>
      <c r="L129" s="2160">
        <v>1.5</v>
      </c>
      <c r="M129" s="2161"/>
    </row>
    <row r="130" spans="1:16" ht="12" customHeight="1" x14ac:dyDescent="0.2">
      <c r="A130" s="343"/>
      <c r="B130" s="2143" t="s">
        <v>91</v>
      </c>
      <c r="C130" s="2144"/>
      <c r="D130" s="2185" t="s">
        <v>92</v>
      </c>
      <c r="E130" s="2186"/>
      <c r="F130" s="2187"/>
      <c r="G130" s="990" t="s">
        <v>25</v>
      </c>
      <c r="H130" s="2138">
        <v>2</v>
      </c>
      <c r="I130" s="2353"/>
      <c r="J130" s="2678"/>
      <c r="K130" s="2372"/>
      <c r="L130" s="2538">
        <v>1</v>
      </c>
      <c r="M130" s="2277"/>
    </row>
    <row r="131" spans="1:16" ht="12" customHeight="1" x14ac:dyDescent="0.2">
      <c r="A131" s="413"/>
      <c r="B131" s="2143" t="s">
        <v>93</v>
      </c>
      <c r="C131" s="2144"/>
      <c r="D131" s="2185" t="s">
        <v>417</v>
      </c>
      <c r="E131" s="2186"/>
      <c r="F131" s="2187"/>
      <c r="G131" s="89" t="s">
        <v>27</v>
      </c>
      <c r="H131" s="2378">
        <v>1</v>
      </c>
      <c r="I131" s="2379"/>
      <c r="J131" s="2678"/>
      <c r="K131" s="2372"/>
      <c r="L131" s="2160">
        <v>0.75</v>
      </c>
      <c r="M131" s="2161"/>
    </row>
    <row r="132" spans="1:16" ht="12" customHeight="1" x14ac:dyDescent="0.2">
      <c r="A132" s="344"/>
      <c r="B132" s="2402" t="s">
        <v>419</v>
      </c>
      <c r="C132" s="2403"/>
      <c r="D132" s="2587" t="s">
        <v>418</v>
      </c>
      <c r="E132" s="2588"/>
      <c r="F132" s="2589"/>
      <c r="G132" s="97" t="s">
        <v>29</v>
      </c>
      <c r="H132" s="2376">
        <v>0</v>
      </c>
      <c r="I132" s="2377"/>
      <c r="J132" s="2679"/>
      <c r="K132" s="2374"/>
      <c r="L132" s="2162">
        <v>0.5</v>
      </c>
      <c r="M132" s="2163"/>
    </row>
    <row r="133" spans="1:16" ht="18" customHeight="1" thickBot="1" x14ac:dyDescent="0.25">
      <c r="A133" s="2590" t="s">
        <v>420</v>
      </c>
      <c r="B133" s="2591"/>
      <c r="C133" s="2591"/>
      <c r="D133" s="2591"/>
      <c r="E133" s="2591"/>
      <c r="F133" s="2591"/>
      <c r="G133" s="2591"/>
      <c r="H133" s="2591"/>
      <c r="I133" s="2591"/>
      <c r="J133" s="2591"/>
      <c r="K133" s="2591"/>
      <c r="L133" s="2591"/>
      <c r="M133" s="2592"/>
    </row>
    <row r="134" spans="1:16" ht="12" customHeight="1" thickTop="1" x14ac:dyDescent="0.2">
      <c r="A134" s="161" t="s">
        <v>232</v>
      </c>
      <c r="B134" s="2404" t="s">
        <v>770</v>
      </c>
      <c r="C134" s="2404"/>
      <c r="D134" s="332"/>
      <c r="E134" s="332"/>
      <c r="F134" s="182"/>
      <c r="G134" s="183"/>
      <c r="H134" s="2267" t="s">
        <v>94</v>
      </c>
      <c r="I134" s="2405"/>
      <c r="J134" s="2673" t="s">
        <v>58</v>
      </c>
      <c r="K134" s="2674"/>
      <c r="L134" s="2593" t="s">
        <v>58</v>
      </c>
      <c r="M134" s="2594"/>
      <c r="O134" s="98"/>
    </row>
    <row r="135" spans="1:16" ht="12" customHeight="1" x14ac:dyDescent="0.2">
      <c r="A135" s="342"/>
      <c r="B135" s="245" t="s">
        <v>425</v>
      </c>
      <c r="C135" s="100" t="s">
        <v>275</v>
      </c>
      <c r="D135" s="101"/>
      <c r="E135" s="101"/>
      <c r="F135" s="102"/>
      <c r="G135" s="206" t="s">
        <v>16</v>
      </c>
      <c r="H135" s="2656">
        <v>6</v>
      </c>
      <c r="I135" s="2657"/>
      <c r="J135" s="2595" t="s">
        <v>289</v>
      </c>
      <c r="K135" s="2596"/>
      <c r="L135" s="1974" t="s">
        <v>323</v>
      </c>
      <c r="M135" s="2380"/>
    </row>
    <row r="136" spans="1:16" ht="12" customHeight="1" x14ac:dyDescent="0.2">
      <c r="A136" s="343"/>
      <c r="B136" s="327" t="s">
        <v>95</v>
      </c>
      <c r="C136" s="103" t="s">
        <v>96</v>
      </c>
      <c r="D136" s="104"/>
      <c r="E136" s="104"/>
      <c r="F136" s="105"/>
      <c r="G136" s="106" t="s">
        <v>18</v>
      </c>
      <c r="H136" s="2658">
        <v>5</v>
      </c>
      <c r="I136" s="2173"/>
      <c r="J136" s="2597"/>
      <c r="K136" s="2598"/>
      <c r="L136" s="2381"/>
      <c r="M136" s="2382"/>
    </row>
    <row r="137" spans="1:16" ht="12" customHeight="1" x14ac:dyDescent="0.2">
      <c r="A137" s="343"/>
      <c r="B137" s="327" t="s">
        <v>97</v>
      </c>
      <c r="C137" s="103" t="s">
        <v>435</v>
      </c>
      <c r="D137" s="104"/>
      <c r="E137" s="104"/>
      <c r="F137" s="105"/>
      <c r="G137" s="993" t="s">
        <v>21</v>
      </c>
      <c r="H137" s="2659">
        <v>4</v>
      </c>
      <c r="I137" s="2256"/>
      <c r="J137" s="2597"/>
      <c r="K137" s="2598"/>
      <c r="L137" s="2381"/>
      <c r="M137" s="2382"/>
    </row>
    <row r="138" spans="1:16" ht="12" customHeight="1" x14ac:dyDescent="0.2">
      <c r="A138" s="413"/>
      <c r="B138" s="327" t="s">
        <v>438</v>
      </c>
      <c r="C138" s="103" t="s">
        <v>436</v>
      </c>
      <c r="D138" s="104"/>
      <c r="E138" s="104"/>
      <c r="F138" s="105"/>
      <c r="G138" s="255" t="s">
        <v>23</v>
      </c>
      <c r="H138" s="2658">
        <v>1</v>
      </c>
      <c r="I138" s="2173"/>
      <c r="J138" s="2597"/>
      <c r="K138" s="2598"/>
      <c r="L138" s="2381"/>
      <c r="M138" s="2382"/>
    </row>
    <row r="139" spans="1:16" ht="12" customHeight="1" thickBot="1" x14ac:dyDescent="0.25">
      <c r="A139" s="522"/>
      <c r="B139" s="523" t="s">
        <v>98</v>
      </c>
      <c r="C139" s="524" t="s">
        <v>437</v>
      </c>
      <c r="D139" s="525"/>
      <c r="E139" s="525"/>
      <c r="F139" s="526"/>
      <c r="G139" s="276" t="s">
        <v>25</v>
      </c>
      <c r="H139" s="2660">
        <v>0</v>
      </c>
      <c r="I139" s="2661"/>
      <c r="J139" s="2599"/>
      <c r="K139" s="2600"/>
      <c r="L139" s="2601"/>
      <c r="M139" s="2602"/>
    </row>
    <row r="140" spans="1:16" ht="12" customHeight="1" thickBot="1" x14ac:dyDescent="0.25">
      <c r="A140" s="18"/>
      <c r="B140" s="75"/>
      <c r="C140" s="75"/>
      <c r="D140" s="75"/>
      <c r="E140" s="75"/>
      <c r="F140" s="109"/>
      <c r="G140" s="110"/>
      <c r="H140" s="111"/>
      <c r="I140" s="111"/>
      <c r="J140" s="112"/>
      <c r="K140" s="112"/>
      <c r="L140" s="112"/>
      <c r="M140" s="112"/>
    </row>
    <row r="141" spans="1:16" s="17" customFormat="1" ht="12" customHeight="1" x14ac:dyDescent="0.2">
      <c r="A141" s="21" t="s">
        <v>204</v>
      </c>
      <c r="B141" s="2350" t="s">
        <v>278</v>
      </c>
      <c r="C141" s="2350"/>
      <c r="D141" s="2350"/>
      <c r="E141" s="2350"/>
      <c r="F141" s="2351"/>
      <c r="G141" s="2130" t="s">
        <v>354</v>
      </c>
      <c r="H141" s="2406" t="s">
        <v>644</v>
      </c>
      <c r="I141" s="2133"/>
      <c r="J141" s="2407" t="s">
        <v>0</v>
      </c>
      <c r="K141" s="2133"/>
      <c r="L141" s="2407" t="s">
        <v>1</v>
      </c>
      <c r="M141" s="2263"/>
      <c r="N141" s="113"/>
      <c r="O141" s="113"/>
    </row>
    <row r="142" spans="1:16" s="17" customFormat="1" ht="12" customHeight="1" x14ac:dyDescent="0.2">
      <c r="A142" s="159"/>
      <c r="B142" s="2354" t="s">
        <v>279</v>
      </c>
      <c r="C142" s="2354"/>
      <c r="D142" s="2354"/>
      <c r="E142" s="2354"/>
      <c r="F142" s="2397"/>
      <c r="G142" s="2131"/>
      <c r="H142" s="2363" t="s">
        <v>58</v>
      </c>
      <c r="I142" s="2515"/>
      <c r="J142" s="2624" t="s">
        <v>58</v>
      </c>
      <c r="K142" s="2515"/>
      <c r="L142" s="2120" t="s">
        <v>261</v>
      </c>
      <c r="M142" s="2121"/>
      <c r="N142" s="207"/>
      <c r="O142" s="113"/>
    </row>
    <row r="143" spans="1:16" s="17" customFormat="1" ht="12" customHeight="1" x14ac:dyDescent="0.2">
      <c r="A143" s="342"/>
      <c r="B143" s="99" t="s">
        <v>260</v>
      </c>
      <c r="C143" s="115" t="s">
        <v>376</v>
      </c>
      <c r="D143" s="115"/>
      <c r="E143" s="115"/>
      <c r="G143" s="117" t="s">
        <v>16</v>
      </c>
      <c r="H143" s="2355" t="s">
        <v>322</v>
      </c>
      <c r="I143" s="2180"/>
      <c r="J143" s="2179" t="s">
        <v>289</v>
      </c>
      <c r="K143" s="2180"/>
      <c r="L143" s="2269">
        <v>1.3</v>
      </c>
      <c r="M143" s="2270"/>
      <c r="N143" s="114"/>
      <c r="O143" s="2229" t="s">
        <v>388</v>
      </c>
      <c r="P143" s="2230"/>
    </row>
    <row r="144" spans="1:16" s="17" customFormat="1" ht="12" customHeight="1" x14ac:dyDescent="0.2">
      <c r="A144" s="343"/>
      <c r="B144" s="327" t="s">
        <v>259</v>
      </c>
      <c r="C144" s="116" t="s">
        <v>285</v>
      </c>
      <c r="D144" s="116"/>
      <c r="E144" s="116"/>
      <c r="F144" s="118"/>
      <c r="G144" s="994" t="s">
        <v>18</v>
      </c>
      <c r="H144" s="2356"/>
      <c r="I144" s="2182"/>
      <c r="J144" s="2181"/>
      <c r="K144" s="2182"/>
      <c r="L144" s="2264">
        <v>1</v>
      </c>
      <c r="M144" s="2265"/>
      <c r="N144" s="119"/>
      <c r="O144" s="2231"/>
      <c r="P144" s="2232"/>
    </row>
    <row r="145" spans="1:33" s="17" customFormat="1" ht="12" customHeight="1" x14ac:dyDescent="0.2">
      <c r="A145" s="413"/>
      <c r="B145" s="327" t="s">
        <v>287</v>
      </c>
      <c r="C145" s="120" t="s">
        <v>286</v>
      </c>
      <c r="D145" s="120"/>
      <c r="E145" s="120"/>
      <c r="F145" s="118"/>
      <c r="G145" s="106" t="s">
        <v>21</v>
      </c>
      <c r="H145" s="2356"/>
      <c r="I145" s="2182"/>
      <c r="J145" s="2181"/>
      <c r="K145" s="2182"/>
      <c r="L145" s="2134">
        <v>0.8</v>
      </c>
      <c r="M145" s="2135"/>
      <c r="N145" s="114"/>
      <c r="O145" s="2231"/>
      <c r="P145" s="2232"/>
    </row>
    <row r="146" spans="1:33" s="17" customFormat="1" ht="12" customHeight="1" x14ac:dyDescent="0.2">
      <c r="A146" s="344"/>
      <c r="B146" s="329" t="s">
        <v>274</v>
      </c>
      <c r="C146" s="121" t="s">
        <v>276</v>
      </c>
      <c r="D146" s="121"/>
      <c r="E146" s="121"/>
      <c r="F146" s="83"/>
      <c r="G146" s="122" t="s">
        <v>23</v>
      </c>
      <c r="H146" s="2357"/>
      <c r="I146" s="2184"/>
      <c r="J146" s="2183"/>
      <c r="K146" s="2184"/>
      <c r="L146" s="2395">
        <v>0.5</v>
      </c>
      <c r="M146" s="2396"/>
      <c r="N146" s="207"/>
      <c r="O146" s="2233"/>
      <c r="P146" s="2234"/>
    </row>
    <row r="147" spans="1:33" s="17" customFormat="1" ht="12" customHeight="1" thickBot="1" x14ac:dyDescent="0.25">
      <c r="A147" s="107"/>
      <c r="B147" s="2126" t="s">
        <v>356</v>
      </c>
      <c r="C147" s="2126"/>
      <c r="D147" s="2126"/>
      <c r="E147" s="2126"/>
      <c r="F147" s="2126"/>
      <c r="G147" s="2126"/>
      <c r="H147" s="2126"/>
      <c r="I147" s="2126"/>
      <c r="J147" s="2126"/>
      <c r="K147" s="2126"/>
      <c r="L147" s="2126"/>
      <c r="M147" s="2127"/>
      <c r="N147" s="114"/>
      <c r="O147" s="113"/>
    </row>
    <row r="148" spans="1:33" ht="12" customHeight="1" thickBot="1" x14ac:dyDescent="0.25">
      <c r="A148" s="211"/>
    </row>
    <row r="149" spans="1:33" ht="12" customHeight="1" x14ac:dyDescent="0.2">
      <c r="A149" s="21" t="s">
        <v>152</v>
      </c>
      <c r="B149" s="2350" t="s">
        <v>105</v>
      </c>
      <c r="C149" s="2350"/>
      <c r="D149" s="2350"/>
      <c r="E149" s="2350"/>
      <c r="F149" s="2351"/>
      <c r="G149" s="2130" t="s">
        <v>354</v>
      </c>
      <c r="H149" s="2406" t="s">
        <v>644</v>
      </c>
      <c r="I149" s="2407"/>
      <c r="J149" s="2132" t="s">
        <v>0</v>
      </c>
      <c r="K149" s="2133"/>
      <c r="L149" s="2132" t="s">
        <v>1</v>
      </c>
      <c r="M149" s="2263"/>
    </row>
    <row r="150" spans="1:33" ht="12" customHeight="1" x14ac:dyDescent="0.2">
      <c r="A150" s="159"/>
      <c r="B150" s="2354" t="s">
        <v>389</v>
      </c>
      <c r="C150" s="2354"/>
      <c r="D150" s="2120" t="s">
        <v>674</v>
      </c>
      <c r="E150" s="2120"/>
      <c r="F150" s="2358"/>
      <c r="G150" s="2131"/>
      <c r="H150" s="2363" t="s">
        <v>106</v>
      </c>
      <c r="I150" s="2120"/>
      <c r="J150" s="2175" t="s">
        <v>107</v>
      </c>
      <c r="K150" s="2176"/>
      <c r="L150" s="2166" t="s">
        <v>108</v>
      </c>
      <c r="M150" s="2167"/>
      <c r="N150" s="123"/>
      <c r="O150" s="2226" t="s">
        <v>234</v>
      </c>
      <c r="P150" s="2226"/>
      <c r="Q150" s="2226"/>
      <c r="R150" s="2226"/>
      <c r="S150" s="2226"/>
      <c r="T150" s="2226"/>
      <c r="U150" s="2226"/>
    </row>
    <row r="151" spans="1:33" ht="12" customHeight="1" x14ac:dyDescent="0.2">
      <c r="A151" s="343"/>
      <c r="B151" s="335" t="s">
        <v>780</v>
      </c>
      <c r="C151" s="578" t="s">
        <v>377</v>
      </c>
      <c r="D151" s="2734" t="s">
        <v>283</v>
      </c>
      <c r="E151" s="2735"/>
      <c r="F151" s="2736"/>
      <c r="G151" s="192" t="s">
        <v>16</v>
      </c>
      <c r="H151" s="2128">
        <v>15</v>
      </c>
      <c r="I151" s="2129"/>
      <c r="J151" s="2614">
        <v>1</v>
      </c>
      <c r="K151" s="2615"/>
      <c r="L151" s="2614">
        <v>1</v>
      </c>
      <c r="M151" s="2625"/>
      <c r="N151" s="2124" t="s">
        <v>273</v>
      </c>
      <c r="O151" s="2344" t="s">
        <v>280</v>
      </c>
      <c r="P151" s="2345"/>
      <c r="Q151" s="2345"/>
      <c r="R151" s="2345"/>
      <c r="S151" s="2345"/>
      <c r="T151" s="2345"/>
      <c r="U151" s="2346"/>
    </row>
    <row r="152" spans="1:33" ht="12" customHeight="1" x14ac:dyDescent="0.2">
      <c r="A152" s="576"/>
      <c r="B152" s="577" t="s">
        <v>683</v>
      </c>
      <c r="C152" s="190" t="s">
        <v>371</v>
      </c>
      <c r="D152" s="2737"/>
      <c r="E152" s="2738"/>
      <c r="F152" s="2739"/>
      <c r="G152" s="995" t="s">
        <v>18</v>
      </c>
      <c r="H152" s="2675">
        <v>10</v>
      </c>
      <c r="I152" s="2676"/>
      <c r="J152" s="2616"/>
      <c r="K152" s="2617"/>
      <c r="L152" s="2626"/>
      <c r="M152" s="2627"/>
      <c r="N152" s="2125"/>
      <c r="O152" s="2347"/>
      <c r="P152" s="2348"/>
      <c r="Q152" s="2348"/>
      <c r="R152" s="2348"/>
      <c r="S152" s="2348"/>
      <c r="T152" s="2348"/>
      <c r="U152" s="2349"/>
    </row>
    <row r="153" spans="1:33" ht="12" customHeight="1" x14ac:dyDescent="0.2">
      <c r="A153" s="343"/>
      <c r="B153" s="314" t="s">
        <v>109</v>
      </c>
      <c r="C153" s="190" t="s">
        <v>367</v>
      </c>
      <c r="D153" s="2609" t="s">
        <v>365</v>
      </c>
      <c r="E153" s="2610"/>
      <c r="F153" s="2611"/>
      <c r="G153" s="89" t="s">
        <v>21</v>
      </c>
      <c r="H153" s="2359">
        <v>7</v>
      </c>
      <c r="I153" s="2360"/>
      <c r="J153" s="2122">
        <v>0.66</v>
      </c>
      <c r="K153" s="2174"/>
      <c r="L153" s="2616"/>
      <c r="M153" s="2628"/>
      <c r="N153" s="2125"/>
      <c r="O153" s="2223"/>
      <c r="P153" s="2224"/>
      <c r="Q153" s="2224"/>
      <c r="R153" s="2224"/>
      <c r="S153" s="2224"/>
      <c r="T153" s="2224"/>
      <c r="U153" s="2225"/>
    </row>
    <row r="154" spans="1:33" ht="12" customHeight="1" x14ac:dyDescent="0.2">
      <c r="A154" s="343"/>
      <c r="B154" s="314" t="s">
        <v>110</v>
      </c>
      <c r="C154" s="190" t="s">
        <v>368</v>
      </c>
      <c r="D154" s="2609" t="s">
        <v>366</v>
      </c>
      <c r="E154" s="2610"/>
      <c r="F154" s="2611"/>
      <c r="G154" s="89" t="s">
        <v>23</v>
      </c>
      <c r="H154" s="2361">
        <v>4</v>
      </c>
      <c r="I154" s="2362"/>
      <c r="J154" s="2122">
        <v>0.5</v>
      </c>
      <c r="K154" s="2174"/>
      <c r="L154" s="2388">
        <v>2.5</v>
      </c>
      <c r="M154" s="2389"/>
      <c r="N154" s="312" t="s">
        <v>273</v>
      </c>
      <c r="O154" s="2223" t="s">
        <v>281</v>
      </c>
      <c r="P154" s="2224"/>
      <c r="Q154" s="2224"/>
      <c r="R154" s="2224"/>
      <c r="S154" s="2224"/>
      <c r="T154" s="2224"/>
      <c r="U154" s="2225"/>
    </row>
    <row r="155" spans="1:33" ht="12" customHeight="1" thickBot="1" x14ac:dyDescent="0.25">
      <c r="A155" s="343"/>
      <c r="B155" s="314" t="s">
        <v>375</v>
      </c>
      <c r="C155" s="2618" t="s">
        <v>372</v>
      </c>
      <c r="D155" s="2609"/>
      <c r="E155" s="2610"/>
      <c r="F155" s="2611"/>
      <c r="G155" s="89" t="s">
        <v>25</v>
      </c>
      <c r="H155" s="2620">
        <v>0</v>
      </c>
      <c r="I155" s="2621"/>
      <c r="J155" s="2122">
        <v>0.3</v>
      </c>
      <c r="K155" s="2174"/>
      <c r="L155" s="2122">
        <v>5</v>
      </c>
      <c r="M155" s="2123"/>
      <c r="N155" s="213" t="s">
        <v>273</v>
      </c>
      <c r="O155" s="2340" t="s">
        <v>282</v>
      </c>
      <c r="P155" s="2341"/>
      <c r="Q155" s="2341"/>
      <c r="R155" s="2342"/>
      <c r="S155" s="2342"/>
      <c r="T155" s="2342"/>
      <c r="U155" s="2343"/>
    </row>
    <row r="156" spans="1:33" ht="12" customHeight="1" thickTop="1" x14ac:dyDescent="0.2">
      <c r="A156" s="413"/>
      <c r="B156" s="189" t="s">
        <v>374</v>
      </c>
      <c r="C156" s="2619"/>
      <c r="D156" s="2609" t="s">
        <v>284</v>
      </c>
      <c r="E156" s="2610"/>
      <c r="F156" s="2611"/>
      <c r="G156" s="89" t="s">
        <v>27</v>
      </c>
      <c r="H156" s="2622"/>
      <c r="I156" s="2623"/>
      <c r="J156" s="2122">
        <v>0.15</v>
      </c>
      <c r="K156" s="2174"/>
      <c r="L156" s="2605" t="s">
        <v>290</v>
      </c>
      <c r="M156" s="2606"/>
      <c r="N156" s="188" t="s">
        <v>273</v>
      </c>
      <c r="O156" s="567" t="s">
        <v>370</v>
      </c>
      <c r="P156" s="2092" t="s">
        <v>402</v>
      </c>
      <c r="Q156" s="2093"/>
    </row>
    <row r="157" spans="1:33" ht="12" customHeight="1" x14ac:dyDescent="0.2">
      <c r="A157" s="35"/>
      <c r="B157" s="2655" t="s">
        <v>685</v>
      </c>
      <c r="C157" s="2403"/>
      <c r="D157" s="2662"/>
      <c r="E157" s="2663"/>
      <c r="F157" s="2664"/>
      <c r="G157" s="56" t="s">
        <v>29</v>
      </c>
      <c r="H157" s="2612" t="s">
        <v>373</v>
      </c>
      <c r="I157" s="2613"/>
      <c r="J157" s="2168">
        <v>0.08</v>
      </c>
      <c r="K157" s="2168"/>
      <c r="L157" s="2607"/>
      <c r="M157" s="2608"/>
      <c r="N157" s="124" t="s">
        <v>273</v>
      </c>
      <c r="O157" s="568" t="s">
        <v>369</v>
      </c>
      <c r="P157" s="2094"/>
      <c r="Q157" s="2095"/>
    </row>
    <row r="158" spans="1:33" ht="12" customHeight="1" thickBot="1" x14ac:dyDescent="0.2">
      <c r="A158" s="125"/>
      <c r="B158" s="2603" t="s">
        <v>662</v>
      </c>
      <c r="C158" s="2603"/>
      <c r="D158" s="2603"/>
      <c r="E158" s="2603"/>
      <c r="F158" s="2603"/>
      <c r="G158" s="2603"/>
      <c r="H158" s="2603"/>
      <c r="I158" s="2603"/>
      <c r="J158" s="2603"/>
      <c r="K158" s="2603"/>
      <c r="L158" s="2603"/>
      <c r="M158" s="2604"/>
      <c r="O158" s="566"/>
      <c r="R158" s="579"/>
      <c r="S158" s="579"/>
      <c r="V158" s="10"/>
      <c r="W158" s="10"/>
      <c r="X158" s="10"/>
      <c r="Y158" s="10"/>
      <c r="Z158" s="10"/>
      <c r="AA158" s="10"/>
      <c r="AB158" s="10"/>
      <c r="AC158" s="10"/>
      <c r="AD158" s="10"/>
      <c r="AE158" s="10"/>
      <c r="AF158" s="10"/>
      <c r="AG158" s="10"/>
    </row>
    <row r="159" spans="1:33" ht="13.5" customHeight="1" thickBot="1" x14ac:dyDescent="0.25">
      <c r="A159" s="126"/>
      <c r="B159" s="127"/>
      <c r="C159" s="127"/>
      <c r="D159" s="127"/>
      <c r="E159" s="127"/>
      <c r="F159" s="127"/>
      <c r="G159" s="127"/>
      <c r="H159" s="127"/>
      <c r="I159" s="127"/>
      <c r="J159" s="127"/>
      <c r="K159" s="127"/>
      <c r="L159" s="127"/>
      <c r="M159" s="127"/>
      <c r="Q159" s="2189" t="s">
        <v>400</v>
      </c>
      <c r="R159" s="2190"/>
      <c r="S159" s="2191"/>
      <c r="V159" s="10"/>
      <c r="W159" s="10"/>
      <c r="X159" s="10"/>
      <c r="Y159" s="10"/>
      <c r="Z159" s="10"/>
      <c r="AA159" s="10"/>
      <c r="AB159" s="10"/>
      <c r="AC159" s="10"/>
      <c r="AD159" s="10"/>
      <c r="AE159" s="10"/>
      <c r="AF159" s="10"/>
      <c r="AG159" s="10"/>
    </row>
    <row r="160" spans="1:33" ht="12" customHeight="1" x14ac:dyDescent="0.2">
      <c r="A160" s="21" t="s">
        <v>205</v>
      </c>
      <c r="B160" s="2350" t="s">
        <v>237</v>
      </c>
      <c r="C160" s="2350"/>
      <c r="D160" s="2350"/>
      <c r="E160" s="2350"/>
      <c r="F160" s="2351"/>
      <c r="G160" s="2130" t="s">
        <v>354</v>
      </c>
      <c r="H160" s="2497" t="s">
        <v>644</v>
      </c>
      <c r="I160" s="2473"/>
      <c r="J160" s="2170" t="s">
        <v>0</v>
      </c>
      <c r="K160" s="2473"/>
      <c r="L160" s="2170" t="s">
        <v>1</v>
      </c>
      <c r="M160" s="2171"/>
      <c r="O160" s="2227" t="s">
        <v>396</v>
      </c>
      <c r="Q160" s="2192"/>
      <c r="R160" s="2193"/>
      <c r="S160" s="2194"/>
      <c r="V160" s="10"/>
      <c r="W160" s="10"/>
      <c r="X160" s="10"/>
      <c r="Y160" s="10"/>
      <c r="Z160" s="10"/>
      <c r="AA160" s="10"/>
      <c r="AB160" s="10"/>
      <c r="AC160" s="10"/>
      <c r="AD160" s="10"/>
      <c r="AE160" s="10"/>
      <c r="AF160" s="10"/>
      <c r="AG160" s="10"/>
    </row>
    <row r="161" spans="1:41" ht="12" customHeight="1" x14ac:dyDescent="0.2">
      <c r="A161" s="159" t="s">
        <v>235</v>
      </c>
      <c r="B161" s="2354" t="s">
        <v>239</v>
      </c>
      <c r="C161" s="2354"/>
      <c r="D161" s="2354"/>
      <c r="E161" s="2354"/>
      <c r="F161" s="2397"/>
      <c r="G161" s="2131"/>
      <c r="H161" s="2364" t="s">
        <v>58</v>
      </c>
      <c r="I161" s="2365"/>
      <c r="J161" s="2585" t="s">
        <v>111</v>
      </c>
      <c r="K161" s="2586"/>
      <c r="L161" s="2177" t="s">
        <v>254</v>
      </c>
      <c r="M161" s="2178"/>
      <c r="N161" s="123"/>
      <c r="O161" s="2228"/>
      <c r="Q161" s="2206" t="s">
        <v>401</v>
      </c>
      <c r="R161" s="2207"/>
      <c r="S161" s="2208"/>
      <c r="T161" s="128"/>
      <c r="U161" s="128"/>
      <c r="V161" s="2198"/>
      <c r="W161" s="2198"/>
      <c r="X161" s="2198"/>
      <c r="Y161" s="10"/>
      <c r="Z161" s="362"/>
      <c r="AA161" s="10"/>
      <c r="AB161" s="10"/>
      <c r="AC161" s="10"/>
      <c r="AD161" s="10"/>
      <c r="AE161" s="10"/>
      <c r="AF161" s="10"/>
      <c r="AG161" s="10"/>
    </row>
    <row r="162" spans="1:41" ht="12" customHeight="1" x14ac:dyDescent="0.15">
      <c r="A162" s="343"/>
      <c r="B162" s="2723" t="s">
        <v>591</v>
      </c>
      <c r="C162" s="2399" t="s">
        <v>801</v>
      </c>
      <c r="D162" s="2400"/>
      <c r="E162" s="2400"/>
      <c r="F162" s="2401"/>
      <c r="G162" s="322" t="s">
        <v>16</v>
      </c>
      <c r="H162" s="2786" t="s">
        <v>289</v>
      </c>
      <c r="I162" s="2787"/>
      <c r="J162" s="2257">
        <v>2.5</v>
      </c>
      <c r="K162" s="2258"/>
      <c r="L162" s="2250">
        <v>0.1</v>
      </c>
      <c r="M162" s="2251"/>
      <c r="O162" s="2209" t="s">
        <v>333</v>
      </c>
      <c r="Q162" s="2235" t="s">
        <v>380</v>
      </c>
      <c r="R162" s="2238" t="s">
        <v>399</v>
      </c>
      <c r="S162" s="2241" t="s">
        <v>381</v>
      </c>
      <c r="U162" s="17"/>
      <c r="V162" s="2195"/>
      <c r="W162" s="2195"/>
      <c r="X162" s="2195"/>
      <c r="Y162" s="10"/>
      <c r="Z162" s="2195"/>
      <c r="AA162" s="2195"/>
      <c r="AB162" s="2195"/>
      <c r="AC162" s="397"/>
      <c r="AD162" s="10"/>
      <c r="AE162" s="10"/>
      <c r="AF162" s="10"/>
      <c r="AG162" s="10"/>
    </row>
    <row r="163" spans="1:41" ht="12" customHeight="1" x14ac:dyDescent="0.2">
      <c r="A163" s="343"/>
      <c r="B163" s="2648"/>
      <c r="C163" s="2144" t="s">
        <v>190</v>
      </c>
      <c r="D163" s="2145"/>
      <c r="E163" s="2145"/>
      <c r="F163" s="2146"/>
      <c r="G163" s="316" t="s">
        <v>18</v>
      </c>
      <c r="H163" s="2788"/>
      <c r="I163" s="2789"/>
      <c r="J163" s="2259"/>
      <c r="K163" s="2260"/>
      <c r="L163" s="2172">
        <v>0.5</v>
      </c>
      <c r="M163" s="2252"/>
      <c r="N163" s="40"/>
      <c r="O163" s="2210"/>
      <c r="Q163" s="2236"/>
      <c r="R163" s="2239"/>
      <c r="S163" s="2242"/>
      <c r="U163" s="17"/>
      <c r="V163" s="398"/>
      <c r="W163" s="399"/>
      <c r="X163" s="407"/>
      <c r="Y163" s="6"/>
      <c r="Z163" s="400"/>
      <c r="AA163" s="4"/>
      <c r="AB163" s="401"/>
      <c r="AC163" s="402"/>
      <c r="AD163" s="10"/>
      <c r="AE163" s="10"/>
      <c r="AF163" s="10"/>
      <c r="AG163" s="10"/>
    </row>
    <row r="164" spans="1:41" ht="12" customHeight="1" x14ac:dyDescent="0.2">
      <c r="A164" s="413"/>
      <c r="B164" s="2648"/>
      <c r="C164" s="2144" t="s">
        <v>191</v>
      </c>
      <c r="D164" s="2145"/>
      <c r="E164" s="2145"/>
      <c r="F164" s="2146"/>
      <c r="G164" s="996" t="s">
        <v>21</v>
      </c>
      <c r="H164" s="2788"/>
      <c r="I164" s="2789"/>
      <c r="J164" s="2255">
        <v>1</v>
      </c>
      <c r="K164" s="2256"/>
      <c r="L164" s="2255">
        <v>1</v>
      </c>
      <c r="M164" s="2793"/>
      <c r="N164" s="72"/>
      <c r="O164" s="987">
        <v>1</v>
      </c>
      <c r="P164" s="129"/>
      <c r="Q164" s="2237"/>
      <c r="R164" s="2240"/>
      <c r="S164" s="2243"/>
      <c r="U164" s="17"/>
      <c r="V164" s="403"/>
      <c r="W164" s="399"/>
      <c r="X164" s="407"/>
      <c r="Y164" s="10"/>
      <c r="Z164" s="400"/>
      <c r="AA164" s="155"/>
      <c r="AB164" s="12"/>
      <c r="AC164" s="402"/>
      <c r="AD164" s="10"/>
      <c r="AE164" s="10"/>
      <c r="AF164" s="10"/>
      <c r="AG164" s="10"/>
    </row>
    <row r="165" spans="1:41" ht="12" customHeight="1" thickBot="1" x14ac:dyDescent="0.25">
      <c r="A165" s="68"/>
      <c r="B165" s="2733"/>
      <c r="C165" s="2366" t="s">
        <v>192</v>
      </c>
      <c r="D165" s="2367"/>
      <c r="E165" s="2367"/>
      <c r="F165" s="2368"/>
      <c r="G165" s="319" t="s">
        <v>23</v>
      </c>
      <c r="H165" s="2790"/>
      <c r="I165" s="2791"/>
      <c r="J165" s="2718">
        <v>0.67</v>
      </c>
      <c r="K165" s="2719"/>
      <c r="L165" s="2784">
        <v>1.5</v>
      </c>
      <c r="M165" s="2785"/>
      <c r="N165" s="60"/>
      <c r="O165" s="988" t="s">
        <v>173</v>
      </c>
      <c r="Q165" s="497">
        <v>0.5</v>
      </c>
      <c r="R165" s="498">
        <v>1</v>
      </c>
      <c r="S165" s="499">
        <v>2</v>
      </c>
      <c r="T165" s="196" t="s">
        <v>382</v>
      </c>
      <c r="U165" s="17"/>
      <c r="V165" s="403"/>
      <c r="W165" s="399"/>
      <c r="X165" s="407"/>
      <c r="Y165" s="10"/>
      <c r="Z165" s="400"/>
      <c r="AA165" s="155"/>
      <c r="AB165" s="12"/>
      <c r="AC165" s="402"/>
      <c r="AD165" s="10"/>
      <c r="AE165" s="10"/>
      <c r="AF165" s="10"/>
      <c r="AG165" s="10"/>
    </row>
    <row r="166" spans="1:41" ht="12" customHeight="1" thickTop="1" x14ac:dyDescent="0.2">
      <c r="A166" s="161" t="s">
        <v>236</v>
      </c>
      <c r="B166" s="2507" t="s">
        <v>238</v>
      </c>
      <c r="C166" s="2507"/>
      <c r="D166" s="2507"/>
      <c r="E166" s="2507"/>
      <c r="F166" s="2508"/>
      <c r="G166" s="184"/>
      <c r="H166" s="2149" t="s">
        <v>58</v>
      </c>
      <c r="I166" s="2375"/>
      <c r="J166" s="2253" t="s">
        <v>111</v>
      </c>
      <c r="K166" s="2254"/>
      <c r="L166" s="2720" t="s">
        <v>324</v>
      </c>
      <c r="M166" s="2721"/>
      <c r="N166" s="60"/>
      <c r="O166" s="198"/>
      <c r="P166" s="233"/>
      <c r="Q166" s="500">
        <v>2</v>
      </c>
      <c r="R166" s="501">
        <v>1</v>
      </c>
      <c r="S166" s="502">
        <v>0.5</v>
      </c>
      <c r="T166" s="196" t="s">
        <v>383</v>
      </c>
      <c r="U166" s="17"/>
      <c r="V166" s="403"/>
      <c r="W166" s="399"/>
      <c r="X166" s="407"/>
      <c r="Y166" s="10"/>
      <c r="Z166" s="400"/>
      <c r="AA166" s="155"/>
      <c r="AB166" s="12"/>
      <c r="AC166" s="402"/>
      <c r="AD166" s="10"/>
      <c r="AE166" s="10"/>
      <c r="AF166" s="10"/>
      <c r="AG166" s="10"/>
    </row>
    <row r="167" spans="1:41" ht="12" customHeight="1" x14ac:dyDescent="0.2">
      <c r="A167" s="343"/>
      <c r="B167" s="2723" t="s">
        <v>379</v>
      </c>
      <c r="C167" s="313" t="s">
        <v>326</v>
      </c>
      <c r="D167" s="2400" t="s">
        <v>327</v>
      </c>
      <c r="E167" s="2510"/>
      <c r="F167" s="2722"/>
      <c r="G167" s="71" t="s">
        <v>25</v>
      </c>
      <c r="H167" s="2369" t="s">
        <v>289</v>
      </c>
      <c r="I167" s="2370"/>
      <c r="J167" s="2259">
        <v>25</v>
      </c>
      <c r="K167" s="2260"/>
      <c r="L167" s="2727">
        <v>0.75</v>
      </c>
      <c r="M167" s="2728"/>
      <c r="O167" s="197" t="s">
        <v>176</v>
      </c>
      <c r="U167" s="17"/>
      <c r="V167" s="403"/>
      <c r="W167" s="399"/>
      <c r="X167" s="407"/>
      <c r="Y167" s="10"/>
      <c r="Z167" s="400"/>
      <c r="AA167" s="155"/>
      <c r="AB167" s="12"/>
      <c r="AC167" s="402"/>
      <c r="AD167" s="10"/>
      <c r="AE167" s="10"/>
      <c r="AF167" s="10"/>
      <c r="AG167" s="10"/>
    </row>
    <row r="168" spans="1:41" ht="12" customHeight="1" x14ac:dyDescent="0.2">
      <c r="A168" s="343"/>
      <c r="B168" s="2648"/>
      <c r="C168" s="317" t="s">
        <v>328</v>
      </c>
      <c r="D168" s="2145" t="s">
        <v>329</v>
      </c>
      <c r="E168" s="2487"/>
      <c r="F168" s="2726"/>
      <c r="G168" s="331" t="s">
        <v>27</v>
      </c>
      <c r="H168" s="2371"/>
      <c r="I168" s="2372"/>
      <c r="J168" s="2172">
        <v>100</v>
      </c>
      <c r="K168" s="2173"/>
      <c r="L168" s="2769">
        <v>0.4</v>
      </c>
      <c r="M168" s="2770"/>
      <c r="O168" s="132" t="s">
        <v>174</v>
      </c>
      <c r="U168" s="17"/>
      <c r="V168" s="403"/>
      <c r="W168" s="399"/>
      <c r="X168" s="407"/>
      <c r="Y168" s="10"/>
      <c r="Z168" s="400"/>
      <c r="AA168" s="155"/>
      <c r="AB168" s="12"/>
      <c r="AC168" s="402"/>
      <c r="AD168" s="10"/>
      <c r="AE168" s="10"/>
      <c r="AF168" s="10"/>
      <c r="AG168" s="10"/>
    </row>
    <row r="169" spans="1:41" ht="12" customHeight="1" x14ac:dyDescent="0.2">
      <c r="A169" s="343"/>
      <c r="B169" s="2108"/>
      <c r="C169" s="2109" t="s">
        <v>113</v>
      </c>
      <c r="D169" s="2110"/>
      <c r="E169" s="2110"/>
      <c r="F169" s="2111"/>
      <c r="G169" s="97" t="s">
        <v>29</v>
      </c>
      <c r="H169" s="2371"/>
      <c r="I169" s="2372"/>
      <c r="J169" s="2782">
        <v>300</v>
      </c>
      <c r="K169" s="2783"/>
      <c r="L169" s="2158">
        <v>0.15</v>
      </c>
      <c r="M169" s="2159"/>
      <c r="N169" s="60"/>
      <c r="O169" s="133" t="s">
        <v>175</v>
      </c>
      <c r="U169" s="17"/>
      <c r="V169" s="398"/>
      <c r="W169" s="399"/>
      <c r="X169" s="404"/>
      <c r="Y169" s="10"/>
      <c r="Z169" s="400"/>
      <c r="AA169" s="405"/>
      <c r="AB169" s="12"/>
      <c r="AC169" s="406"/>
      <c r="AD169" s="10"/>
      <c r="AE169" s="10"/>
      <c r="AF169" s="10"/>
      <c r="AG169" s="10"/>
    </row>
    <row r="170" spans="1:41" ht="12" customHeight="1" x14ac:dyDescent="0.2">
      <c r="A170" s="413"/>
      <c r="B170" s="2729" t="s">
        <v>229</v>
      </c>
      <c r="C170" s="2730"/>
      <c r="D170" s="2724" t="s">
        <v>114</v>
      </c>
      <c r="E170" s="2500"/>
      <c r="F170" s="2725"/>
      <c r="G170" s="87" t="s">
        <v>54</v>
      </c>
      <c r="H170" s="2371"/>
      <c r="I170" s="2372"/>
      <c r="J170" s="2259">
        <v>10</v>
      </c>
      <c r="K170" s="2260"/>
      <c r="L170" s="2767">
        <v>0.75</v>
      </c>
      <c r="M170" s="2768"/>
      <c r="O170" s="134" t="s">
        <v>177</v>
      </c>
      <c r="V170" s="403"/>
      <c r="W170" s="399"/>
      <c r="X170" s="407"/>
      <c r="Y170" s="10"/>
      <c r="Z170" s="2196"/>
      <c r="AA170" s="2197"/>
      <c r="AB170" s="2197"/>
      <c r="AC170" s="402"/>
      <c r="AD170" s="10"/>
      <c r="AE170" s="2188"/>
      <c r="AF170" s="2188"/>
      <c r="AG170" s="2188"/>
    </row>
    <row r="171" spans="1:41" ht="12" customHeight="1" x14ac:dyDescent="0.2">
      <c r="A171" s="135"/>
      <c r="B171" s="2731"/>
      <c r="C171" s="2732"/>
      <c r="D171" s="2779" t="s">
        <v>115</v>
      </c>
      <c r="E171" s="2780"/>
      <c r="F171" s="2781"/>
      <c r="G171" s="91" t="s">
        <v>56</v>
      </c>
      <c r="H171" s="2373"/>
      <c r="I171" s="2374"/>
      <c r="J171" s="2273">
        <v>20</v>
      </c>
      <c r="K171" s="2274"/>
      <c r="L171" s="2158">
        <v>0.5</v>
      </c>
      <c r="M171" s="2159"/>
      <c r="N171" s="123"/>
      <c r="O171" s="136" t="s">
        <v>178</v>
      </c>
      <c r="V171" s="403"/>
      <c r="W171" s="399"/>
      <c r="X171" s="404"/>
      <c r="Y171" s="10"/>
      <c r="Z171" s="2197"/>
      <c r="AA171" s="2197"/>
      <c r="AB171" s="2197"/>
      <c r="AC171" s="402"/>
      <c r="AD171" s="10"/>
      <c r="AE171" s="2188"/>
      <c r="AF171" s="2188"/>
      <c r="AG171" s="2188"/>
    </row>
    <row r="172" spans="1:41" ht="12" customHeight="1" thickBot="1" x14ac:dyDescent="0.25">
      <c r="A172" s="137"/>
      <c r="B172" s="2764" t="s">
        <v>325</v>
      </c>
      <c r="C172" s="2764"/>
      <c r="D172" s="2764"/>
      <c r="E172" s="2764"/>
      <c r="F172" s="2764"/>
      <c r="G172" s="2764"/>
      <c r="H172" s="2764"/>
      <c r="I172" s="2764"/>
      <c r="J172" s="2764"/>
      <c r="K172" s="2764"/>
      <c r="L172" s="2764"/>
      <c r="M172" s="2765"/>
      <c r="N172" s="195"/>
      <c r="R172" s="138"/>
      <c r="S172" s="138"/>
      <c r="T172" s="138"/>
      <c r="V172" s="408"/>
      <c r="W172" s="259"/>
      <c r="X172" s="409"/>
      <c r="Y172" s="10"/>
      <c r="Z172" s="402"/>
      <c r="AA172" s="10"/>
      <c r="AB172" s="10"/>
      <c r="AC172" s="10"/>
      <c r="AD172" s="10"/>
      <c r="AE172" s="10"/>
      <c r="AF172" s="10"/>
      <c r="AG172" s="10"/>
    </row>
    <row r="173" spans="1:41" ht="12" customHeight="1" thickBot="1" x14ac:dyDescent="0.25">
      <c r="A173" s="212"/>
      <c r="B173" s="94"/>
      <c r="C173" s="94"/>
      <c r="D173" s="94"/>
      <c r="E173" s="94"/>
      <c r="F173" s="139"/>
      <c r="G173" s="334"/>
      <c r="R173" s="138"/>
      <c r="S173" s="138"/>
      <c r="T173" s="138"/>
      <c r="V173" s="410"/>
      <c r="W173" s="410"/>
      <c r="X173" s="410"/>
      <c r="Y173" s="10"/>
      <c r="Z173" s="402"/>
      <c r="AA173" s="10"/>
      <c r="AB173" s="10"/>
      <c r="AC173" s="10"/>
      <c r="AD173" s="10"/>
      <c r="AE173" s="10"/>
      <c r="AF173" s="10"/>
      <c r="AG173" s="10"/>
    </row>
    <row r="174" spans="1:41" ht="12" customHeight="1" x14ac:dyDescent="0.2">
      <c r="A174" s="21" t="s">
        <v>262</v>
      </c>
      <c r="B174" s="2350" t="s">
        <v>271</v>
      </c>
      <c r="C174" s="2350"/>
      <c r="D174" s="2350"/>
      <c r="E174" s="2350"/>
      <c r="F174" s="2351"/>
      <c r="G174" s="2130" t="s">
        <v>354</v>
      </c>
      <c r="H174" s="2352" t="s">
        <v>646</v>
      </c>
      <c r="I174" s="2169"/>
      <c r="J174" s="2169" t="s">
        <v>0</v>
      </c>
      <c r="K174" s="2169"/>
      <c r="L174" s="2169" t="s">
        <v>1</v>
      </c>
      <c r="M174" s="2766"/>
      <c r="O174" s="7"/>
      <c r="P174" s="7"/>
      <c r="Q174" s="7"/>
      <c r="R174" s="7"/>
      <c r="S174" s="7"/>
      <c r="T174" s="7"/>
      <c r="U174" s="7"/>
      <c r="V174" s="7"/>
      <c r="W174" s="450"/>
      <c r="X174" s="450"/>
      <c r="Y174" s="450"/>
      <c r="Z174" s="450"/>
      <c r="AA174" s="450"/>
      <c r="AB174" s="450"/>
      <c r="AC174" s="7"/>
      <c r="AD174" s="7"/>
      <c r="AE174" s="7"/>
      <c r="AF174" s="7"/>
      <c r="AG174" s="10"/>
      <c r="AH174" s="10"/>
      <c r="AI174" s="10"/>
      <c r="AJ174" s="10"/>
      <c r="AK174" s="10"/>
      <c r="AL174" s="10"/>
      <c r="AM174" s="10"/>
      <c r="AN174" s="261"/>
      <c r="AO174" s="261"/>
    </row>
    <row r="175" spans="1:41" ht="12" customHeight="1" x14ac:dyDescent="0.2">
      <c r="A175" s="159" t="s">
        <v>263</v>
      </c>
      <c r="B175" s="2762" t="s">
        <v>244</v>
      </c>
      <c r="C175" s="2762"/>
      <c r="D175" s="2762"/>
      <c r="E175" s="2762"/>
      <c r="F175" s="2763"/>
      <c r="G175" s="2131"/>
      <c r="H175" s="2363" t="s">
        <v>58</v>
      </c>
      <c r="I175" s="2515"/>
      <c r="J175" s="2624" t="s">
        <v>111</v>
      </c>
      <c r="K175" s="2515"/>
      <c r="L175" s="2624" t="s">
        <v>58</v>
      </c>
      <c r="M175" s="2121"/>
      <c r="O175" s="7"/>
      <c r="P175" s="7"/>
      <c r="Q175" s="13"/>
      <c r="R175" s="13"/>
      <c r="S175" s="13"/>
      <c r="T175" s="13"/>
      <c r="U175" s="13"/>
      <c r="V175" s="13"/>
      <c r="W175" s="451"/>
      <c r="X175" s="451"/>
      <c r="Y175" s="451"/>
      <c r="Z175" s="451"/>
      <c r="AA175" s="451"/>
      <c r="AB175" s="451"/>
      <c r="AC175" s="13"/>
      <c r="AD175" s="13"/>
      <c r="AE175" s="13"/>
      <c r="AF175" s="13"/>
      <c r="AG175" s="10"/>
      <c r="AH175" s="10"/>
      <c r="AI175" s="10"/>
      <c r="AJ175" s="155"/>
      <c r="AK175" s="10"/>
      <c r="AL175" s="252"/>
      <c r="AM175" s="252"/>
    </row>
    <row r="176" spans="1:41" ht="12" customHeight="1" x14ac:dyDescent="0.15">
      <c r="A176" s="343"/>
      <c r="B176" s="2716" t="s">
        <v>449</v>
      </c>
      <c r="C176" s="2717"/>
      <c r="D176" s="2669" t="s">
        <v>116</v>
      </c>
      <c r="E176" s="2670"/>
      <c r="F176" s="2671"/>
      <c r="G176" s="87" t="s">
        <v>249</v>
      </c>
      <c r="H176" s="2356" t="s">
        <v>291</v>
      </c>
      <c r="I176" s="2182"/>
      <c r="J176" s="2713">
        <v>10</v>
      </c>
      <c r="K176" s="2623"/>
      <c r="L176" s="2381" t="s">
        <v>350</v>
      </c>
      <c r="M176" s="2382"/>
      <c r="O176" s="12"/>
      <c r="P176" s="12"/>
      <c r="Q176" s="259"/>
      <c r="R176" s="452"/>
      <c r="S176" s="265"/>
      <c r="T176" s="451"/>
      <c r="U176" s="451"/>
      <c r="V176" s="451"/>
      <c r="W176" s="453"/>
      <c r="X176" s="452"/>
      <c r="Y176" s="265"/>
      <c r="Z176" s="451"/>
      <c r="AA176" s="451"/>
      <c r="AB176" s="451"/>
      <c r="AC176" s="270"/>
      <c r="AD176" s="454"/>
      <c r="AE176" s="452"/>
      <c r="AF176" s="265"/>
      <c r="AG176" s="10"/>
      <c r="AH176" s="253"/>
      <c r="AI176" s="253"/>
      <c r="AJ176" s="252"/>
      <c r="AK176" s="252"/>
      <c r="AL176" s="252"/>
      <c r="AM176" s="252"/>
    </row>
    <row r="177" spans="1:39" ht="12" customHeight="1" x14ac:dyDescent="0.2">
      <c r="A177" s="343"/>
      <c r="B177" s="2143" t="s">
        <v>446</v>
      </c>
      <c r="C177" s="2144"/>
      <c r="D177" s="2185" t="s">
        <v>117</v>
      </c>
      <c r="E177" s="2186"/>
      <c r="F177" s="2187"/>
      <c r="G177" s="89" t="s">
        <v>250</v>
      </c>
      <c r="H177" s="2356"/>
      <c r="I177" s="2182"/>
      <c r="J177" s="2122">
        <v>5</v>
      </c>
      <c r="K177" s="2174"/>
      <c r="L177" s="2381"/>
      <c r="M177" s="2382"/>
      <c r="O177" s="12"/>
      <c r="P177" s="12"/>
      <c r="Q177" s="269"/>
      <c r="R177" s="452"/>
      <c r="S177" s="265"/>
      <c r="T177" s="13"/>
      <c r="U177" s="452"/>
      <c r="V177" s="265"/>
      <c r="W177" s="267"/>
      <c r="X177" s="451"/>
      <c r="Y177" s="265"/>
      <c r="Z177" s="451"/>
      <c r="AA177" s="451"/>
      <c r="AB177" s="451"/>
      <c r="AC177" s="270"/>
      <c r="AD177" s="455"/>
      <c r="AE177" s="451"/>
      <c r="AF177" s="265"/>
      <c r="AG177" s="10"/>
      <c r="AH177" s="253"/>
      <c r="AI177" s="253"/>
      <c r="AJ177" s="252"/>
      <c r="AK177" s="252"/>
      <c r="AL177" s="252"/>
      <c r="AM177" s="252"/>
    </row>
    <row r="178" spans="1:39" ht="12" customHeight="1" x14ac:dyDescent="0.2">
      <c r="A178" s="343"/>
      <c r="B178" s="2143"/>
      <c r="C178" s="2144"/>
      <c r="D178" s="2185" t="s">
        <v>118</v>
      </c>
      <c r="E178" s="2186"/>
      <c r="F178" s="2187"/>
      <c r="G178" s="96" t="s">
        <v>247</v>
      </c>
      <c r="H178" s="2356"/>
      <c r="I178" s="2182"/>
      <c r="J178" s="2748">
        <v>2.5</v>
      </c>
      <c r="K178" s="2749"/>
      <c r="L178" s="2381"/>
      <c r="M178" s="2382"/>
      <c r="O178" s="12"/>
      <c r="P178" s="269"/>
      <c r="Q178" s="455"/>
      <c r="R178" s="451"/>
      <c r="S178" s="265"/>
      <c r="T178" s="456"/>
      <c r="U178" s="452"/>
      <c r="V178" s="265"/>
      <c r="W178" s="457"/>
      <c r="X178" s="452"/>
      <c r="Y178" s="265"/>
      <c r="Z178" s="10"/>
      <c r="AA178" s="452"/>
      <c r="AB178" s="265"/>
      <c r="AC178" s="270"/>
      <c r="AD178" s="455"/>
      <c r="AE178" s="451"/>
      <c r="AF178" s="265"/>
      <c r="AG178" s="10"/>
      <c r="AH178" s="253"/>
      <c r="AI178" s="253"/>
      <c r="AJ178" s="252"/>
      <c r="AK178" s="252"/>
      <c r="AL178" s="252"/>
      <c r="AM178" s="252"/>
    </row>
    <row r="179" spans="1:39" ht="12" customHeight="1" x14ac:dyDescent="0.2">
      <c r="A179" s="343"/>
      <c r="B179" s="2143" t="s">
        <v>447</v>
      </c>
      <c r="C179" s="2144"/>
      <c r="D179" s="2185" t="s">
        <v>116</v>
      </c>
      <c r="E179" s="2186"/>
      <c r="F179" s="2187"/>
      <c r="G179" s="89" t="s">
        <v>148</v>
      </c>
      <c r="H179" s="2356"/>
      <c r="I179" s="2182"/>
      <c r="J179" s="2122">
        <v>7.5</v>
      </c>
      <c r="K179" s="2174"/>
      <c r="L179" s="2381"/>
      <c r="M179" s="2382"/>
      <c r="O179" s="12"/>
      <c r="P179" s="269"/>
      <c r="Q179" s="266"/>
      <c r="R179" s="452"/>
      <c r="S179" s="265"/>
      <c r="T179" s="267"/>
      <c r="U179" s="451"/>
      <c r="V179" s="265"/>
      <c r="W179" s="457"/>
      <c r="X179" s="452"/>
      <c r="Y179" s="265"/>
      <c r="Z179" s="10"/>
      <c r="AA179" s="452"/>
      <c r="AB179" s="265"/>
      <c r="AC179" s="270"/>
      <c r="AD179" s="455"/>
      <c r="AE179" s="451"/>
      <c r="AF179" s="265"/>
      <c r="AG179" s="10"/>
      <c r="AH179" s="253"/>
      <c r="AI179" s="253"/>
      <c r="AJ179" s="252"/>
      <c r="AK179" s="252"/>
      <c r="AL179" s="253"/>
      <c r="AM179" s="253"/>
    </row>
    <row r="180" spans="1:39" ht="12" customHeight="1" x14ac:dyDescent="0.15">
      <c r="A180" s="343"/>
      <c r="B180" s="2143" t="s">
        <v>119</v>
      </c>
      <c r="C180" s="2144"/>
      <c r="D180" s="2185" t="s">
        <v>117</v>
      </c>
      <c r="E180" s="2186"/>
      <c r="F180" s="2187"/>
      <c r="G180" s="89" t="s">
        <v>251</v>
      </c>
      <c r="H180" s="2356"/>
      <c r="I180" s="2182"/>
      <c r="J180" s="2122">
        <v>5</v>
      </c>
      <c r="K180" s="2174"/>
      <c r="L180" s="2381"/>
      <c r="M180" s="2382"/>
      <c r="O180" s="12"/>
      <c r="P180" s="12"/>
      <c r="Q180" s="267"/>
      <c r="R180" s="13"/>
      <c r="S180" s="265"/>
      <c r="T180" s="268"/>
      <c r="U180" s="452"/>
      <c r="V180" s="265"/>
      <c r="W180" s="453"/>
      <c r="X180" s="452"/>
      <c r="Y180" s="265"/>
      <c r="Z180" s="269"/>
      <c r="AA180" s="451"/>
      <c r="AB180" s="265"/>
      <c r="AC180" s="270"/>
      <c r="AD180" s="455"/>
      <c r="AE180" s="451"/>
      <c r="AF180" s="265"/>
      <c r="AG180" s="10"/>
      <c r="AH180" s="253"/>
      <c r="AI180" s="253"/>
      <c r="AJ180" s="252"/>
      <c r="AK180" s="252"/>
      <c r="AL180" s="252"/>
      <c r="AM180" s="252"/>
    </row>
    <row r="181" spans="1:39" ht="12" customHeight="1" x14ac:dyDescent="0.2">
      <c r="A181" s="343"/>
      <c r="B181" s="2143"/>
      <c r="C181" s="2144"/>
      <c r="D181" s="2185" t="s">
        <v>118</v>
      </c>
      <c r="E181" s="2186"/>
      <c r="F181" s="2187"/>
      <c r="G181" s="89" t="s">
        <v>248</v>
      </c>
      <c r="H181" s="2356"/>
      <c r="I181" s="2182"/>
      <c r="J181" s="2122">
        <v>2.5</v>
      </c>
      <c r="K181" s="2174"/>
      <c r="L181" s="2381"/>
      <c r="M181" s="2382"/>
      <c r="O181" s="12"/>
      <c r="P181" s="12"/>
      <c r="Q181" s="452"/>
      <c r="R181" s="452"/>
      <c r="S181" s="265"/>
      <c r="T181" s="268"/>
      <c r="U181" s="452"/>
      <c r="V181" s="265"/>
      <c r="W181" s="456"/>
      <c r="X181" s="452"/>
      <c r="Y181" s="458"/>
      <c r="Z181" s="454"/>
      <c r="AA181" s="273"/>
      <c r="AB181" s="458"/>
      <c r="AC181" s="270"/>
      <c r="AD181" s="456"/>
      <c r="AE181" s="452"/>
      <c r="AF181" s="265"/>
      <c r="AG181" s="10"/>
      <c r="AH181" s="253"/>
      <c r="AI181" s="253"/>
      <c r="AJ181" s="252"/>
      <c r="AK181" s="252"/>
      <c r="AL181" s="252"/>
      <c r="AM181" s="252"/>
    </row>
    <row r="182" spans="1:39" ht="12" customHeight="1" x14ac:dyDescent="0.2">
      <c r="A182" s="413"/>
      <c r="B182" s="2143" t="s">
        <v>448</v>
      </c>
      <c r="C182" s="2144"/>
      <c r="D182" s="2185" t="s">
        <v>116</v>
      </c>
      <c r="E182" s="2186"/>
      <c r="F182" s="2187"/>
      <c r="G182" s="331" t="s">
        <v>252</v>
      </c>
      <c r="H182" s="2356"/>
      <c r="I182" s="2182"/>
      <c r="J182" s="2122">
        <v>5</v>
      </c>
      <c r="K182" s="2174"/>
      <c r="L182" s="2381"/>
      <c r="M182" s="2382"/>
      <c r="O182" s="10"/>
      <c r="P182" s="10"/>
      <c r="Q182" s="10"/>
      <c r="R182" s="10"/>
      <c r="S182" s="10"/>
      <c r="T182" s="10"/>
      <c r="U182" s="10"/>
      <c r="V182" s="10"/>
      <c r="W182" s="10"/>
      <c r="X182" s="10"/>
      <c r="Y182" s="10"/>
      <c r="Z182" s="10"/>
      <c r="AA182" s="10"/>
      <c r="AB182" s="10"/>
      <c r="AC182" s="10"/>
      <c r="AD182" s="10"/>
      <c r="AE182" s="10"/>
      <c r="AF182" s="10"/>
      <c r="AG182" s="10"/>
      <c r="AH182" s="10"/>
      <c r="AI182" s="10"/>
      <c r="AJ182" s="155"/>
      <c r="AK182" s="10"/>
      <c r="AL182" s="10"/>
      <c r="AM182" s="10"/>
    </row>
    <row r="183" spans="1:39" ht="12" customHeight="1" thickBot="1" x14ac:dyDescent="0.25">
      <c r="A183" s="68"/>
      <c r="B183" s="2733" t="s">
        <v>120</v>
      </c>
      <c r="C183" s="2366"/>
      <c r="D183" s="2776" t="s">
        <v>116</v>
      </c>
      <c r="E183" s="2777"/>
      <c r="F183" s="2778"/>
      <c r="G183" s="319" t="s">
        <v>253</v>
      </c>
      <c r="H183" s="2754"/>
      <c r="I183" s="2755"/>
      <c r="J183" s="2711">
        <v>5</v>
      </c>
      <c r="K183" s="2712"/>
      <c r="L183" s="2709"/>
      <c r="M183" s="2710"/>
    </row>
    <row r="184" spans="1:39" ht="12.6" customHeight="1" thickTop="1" thickBot="1" x14ac:dyDescent="0.25">
      <c r="A184" s="161" t="s">
        <v>264</v>
      </c>
      <c r="B184" s="2554" t="s">
        <v>270</v>
      </c>
      <c r="C184" s="2751"/>
      <c r="D184" s="2752"/>
      <c r="E184" s="2752"/>
      <c r="F184" s="2753"/>
      <c r="G184" s="185"/>
      <c r="H184" s="2524" t="s">
        <v>58</v>
      </c>
      <c r="I184" s="2296"/>
      <c r="J184" s="2295" t="s">
        <v>58</v>
      </c>
      <c r="K184" s="2296"/>
      <c r="L184" s="2175" t="s">
        <v>160</v>
      </c>
      <c r="M184" s="2167"/>
      <c r="N184" s="9"/>
      <c r="O184" s="260" t="s">
        <v>656</v>
      </c>
      <c r="P184" s="9"/>
      <c r="Q184" s="9"/>
      <c r="R184" s="9"/>
      <c r="S184" s="9"/>
      <c r="T184" s="9"/>
      <c r="U184" s="9"/>
      <c r="V184" s="9"/>
      <c r="W184" s="9"/>
    </row>
    <row r="185" spans="1:39" ht="12" customHeight="1" thickBot="1" x14ac:dyDescent="0.25">
      <c r="A185" s="140"/>
      <c r="B185" s="2771" t="s">
        <v>218</v>
      </c>
      <c r="C185" s="2772"/>
      <c r="D185" s="2773"/>
      <c r="E185" s="2773"/>
      <c r="F185" s="2774"/>
      <c r="G185" s="254" t="s">
        <v>293</v>
      </c>
      <c r="H185" s="2775" t="s">
        <v>289</v>
      </c>
      <c r="I185" s="2747"/>
      <c r="J185" s="2746" t="s">
        <v>289</v>
      </c>
      <c r="K185" s="2747"/>
      <c r="L185" s="2709" t="s">
        <v>292</v>
      </c>
      <c r="M185" s="2710"/>
      <c r="O185" s="2740" t="s">
        <v>171</v>
      </c>
      <c r="P185" s="2741"/>
      <c r="Q185" s="2331" t="s">
        <v>428</v>
      </c>
      <c r="R185" s="2332"/>
      <c r="S185" s="2332"/>
      <c r="T185" s="2332"/>
      <c r="U185" s="2332"/>
      <c r="V185" s="2708"/>
      <c r="W185" s="2328" t="s">
        <v>429</v>
      </c>
      <c r="X185" s="2329"/>
      <c r="Y185" s="2329"/>
      <c r="Z185" s="2329"/>
      <c r="AA185" s="2329"/>
      <c r="AB185" s="2330"/>
      <c r="AC185" s="2331" t="s">
        <v>330</v>
      </c>
      <c r="AD185" s="2332"/>
      <c r="AE185" s="2332"/>
      <c r="AF185" s="2333"/>
    </row>
    <row r="186" spans="1:39" ht="18.600000000000001" customHeight="1" thickTop="1" x14ac:dyDescent="0.2">
      <c r="A186" s="186" t="s">
        <v>265</v>
      </c>
      <c r="B186" s="2651" t="s">
        <v>272</v>
      </c>
      <c r="C186" s="2651"/>
      <c r="D186" s="2651"/>
      <c r="E186" s="2651"/>
      <c r="F186" s="2652"/>
      <c r="G186" s="187"/>
      <c r="H186" s="2524" t="s">
        <v>58</v>
      </c>
      <c r="I186" s="2296"/>
      <c r="J186" s="2295" t="s">
        <v>58</v>
      </c>
      <c r="K186" s="2296"/>
      <c r="L186" s="2166" t="s">
        <v>121</v>
      </c>
      <c r="M186" s="2167"/>
      <c r="N186" s="123"/>
      <c r="O186" s="2742"/>
      <c r="P186" s="2743"/>
      <c r="Q186" s="2696" t="s">
        <v>397</v>
      </c>
      <c r="R186" s="2336"/>
      <c r="S186" s="2697"/>
      <c r="T186" s="2336" t="s">
        <v>409</v>
      </c>
      <c r="U186" s="2336"/>
      <c r="V186" s="2337"/>
      <c r="W186" s="2299" t="s">
        <v>410</v>
      </c>
      <c r="X186" s="2300"/>
      <c r="Y186" s="2301"/>
      <c r="Z186" s="2326" t="s">
        <v>411</v>
      </c>
      <c r="AA186" s="2281"/>
      <c r="AB186" s="2327"/>
      <c r="AC186" s="234" t="s">
        <v>390</v>
      </c>
      <c r="AD186" s="2153" t="s">
        <v>409</v>
      </c>
      <c r="AE186" s="2154"/>
      <c r="AF186" s="2155"/>
    </row>
    <row r="187" spans="1:39" ht="12" customHeight="1" x14ac:dyDescent="0.15">
      <c r="A187" s="343"/>
      <c r="B187" s="2723" t="s">
        <v>101</v>
      </c>
      <c r="C187" s="2399"/>
      <c r="D187" s="2400"/>
      <c r="E187" s="2400"/>
      <c r="F187" s="2401"/>
      <c r="G187" s="117" t="s">
        <v>16</v>
      </c>
      <c r="H187" s="2355" t="s">
        <v>289</v>
      </c>
      <c r="I187" s="2180"/>
      <c r="J187" s="2179" t="s">
        <v>289</v>
      </c>
      <c r="K187" s="2180"/>
      <c r="L187" s="2756">
        <v>1</v>
      </c>
      <c r="M187" s="2757"/>
      <c r="N187" s="229"/>
      <c r="O187" s="503" t="s">
        <v>101</v>
      </c>
      <c r="P187" s="204"/>
      <c r="Q187" s="215"/>
      <c r="R187" s="552" t="s">
        <v>183</v>
      </c>
      <c r="S187" s="507">
        <v>70</v>
      </c>
      <c r="T187" s="2319" t="s">
        <v>392</v>
      </c>
      <c r="U187" s="2320"/>
      <c r="V187" s="2321"/>
      <c r="W187" s="459"/>
      <c r="X187" s="552" t="s">
        <v>183</v>
      </c>
      <c r="Y187" s="507">
        <v>70</v>
      </c>
      <c r="Z187" s="2315" t="s">
        <v>392</v>
      </c>
      <c r="AA187" s="2316"/>
      <c r="AB187" s="2317"/>
      <c r="AC187" s="2244" t="s">
        <v>172</v>
      </c>
      <c r="AD187" s="460"/>
      <c r="AE187" s="424" t="s">
        <v>183</v>
      </c>
      <c r="AF187" s="518">
        <v>60</v>
      </c>
    </row>
    <row r="188" spans="1:39" ht="12" customHeight="1" x14ac:dyDescent="0.2">
      <c r="A188" s="343"/>
      <c r="B188" s="2648" t="s">
        <v>102</v>
      </c>
      <c r="C188" s="2144"/>
      <c r="D188" s="2145"/>
      <c r="E188" s="2145"/>
      <c r="F188" s="2146"/>
      <c r="G188" s="106" t="s">
        <v>18</v>
      </c>
      <c r="H188" s="2356"/>
      <c r="I188" s="2182"/>
      <c r="J188" s="2181"/>
      <c r="K188" s="2182"/>
      <c r="L188" s="2388">
        <v>1</v>
      </c>
      <c r="M188" s="2389"/>
      <c r="N188" s="229"/>
      <c r="O188" s="504" t="s">
        <v>102</v>
      </c>
      <c r="P188" s="200"/>
      <c r="Q188" s="224"/>
      <c r="R188" s="431" t="s">
        <v>184</v>
      </c>
      <c r="S188" s="508">
        <v>20</v>
      </c>
      <c r="T188" s="264"/>
      <c r="U188" s="431" t="s">
        <v>184</v>
      </c>
      <c r="V188" s="513">
        <v>20</v>
      </c>
      <c r="W188" s="264"/>
      <c r="X188" s="431" t="s">
        <v>184</v>
      </c>
      <c r="Y188" s="509">
        <v>20</v>
      </c>
      <c r="Z188" s="461"/>
      <c r="AA188" s="431" t="s">
        <v>184</v>
      </c>
      <c r="AB188" s="513">
        <v>20</v>
      </c>
      <c r="AC188" s="2245"/>
      <c r="AD188" s="517">
        <v>45</v>
      </c>
      <c r="AE188" s="427" t="s">
        <v>80</v>
      </c>
      <c r="AF188" s="519">
        <v>60</v>
      </c>
    </row>
    <row r="189" spans="1:39" ht="12" customHeight="1" x14ac:dyDescent="0.2">
      <c r="A189" s="343"/>
      <c r="B189" s="2648" t="s">
        <v>36</v>
      </c>
      <c r="C189" s="2144"/>
      <c r="D189" s="2145"/>
      <c r="E189" s="2145"/>
      <c r="F189" s="2146"/>
      <c r="G189" s="106" t="s">
        <v>21</v>
      </c>
      <c r="H189" s="2356"/>
      <c r="I189" s="2182"/>
      <c r="J189" s="2181"/>
      <c r="K189" s="2182"/>
      <c r="L189" s="2425">
        <v>1.5</v>
      </c>
      <c r="M189" s="2123"/>
      <c r="O189" s="2714" t="s">
        <v>36</v>
      </c>
      <c r="P189" s="2217"/>
      <c r="Q189" s="462"/>
      <c r="R189" s="431" t="s">
        <v>184</v>
      </c>
      <c r="S189" s="509">
        <v>20</v>
      </c>
      <c r="T189" s="511">
        <v>20</v>
      </c>
      <c r="U189" s="427" t="s">
        <v>58</v>
      </c>
      <c r="V189" s="513">
        <v>45</v>
      </c>
      <c r="W189" s="463"/>
      <c r="X189" s="431" t="s">
        <v>184</v>
      </c>
      <c r="Y189" s="509">
        <v>20</v>
      </c>
      <c r="Z189" s="156"/>
      <c r="AA189" s="431" t="s">
        <v>393</v>
      </c>
      <c r="AB189" s="513">
        <v>60</v>
      </c>
      <c r="AC189" s="2245"/>
      <c r="AD189" s="2334">
        <v>30</v>
      </c>
      <c r="AE189" s="2297" t="s">
        <v>80</v>
      </c>
      <c r="AF189" s="2313">
        <v>45</v>
      </c>
    </row>
    <row r="190" spans="1:39" ht="12" customHeight="1" x14ac:dyDescent="0.2">
      <c r="A190" s="413"/>
      <c r="B190" s="2648" t="s">
        <v>103</v>
      </c>
      <c r="C190" s="2144"/>
      <c r="D190" s="2145"/>
      <c r="E190" s="2145"/>
      <c r="F190" s="2146"/>
      <c r="G190" s="106" t="s">
        <v>23</v>
      </c>
      <c r="H190" s="2356"/>
      <c r="I190" s="2182"/>
      <c r="J190" s="2181"/>
      <c r="K190" s="2182"/>
      <c r="L190" s="2425">
        <v>2</v>
      </c>
      <c r="M190" s="2123"/>
      <c r="N190" s="230"/>
      <c r="O190" s="2715"/>
      <c r="P190" s="2218"/>
      <c r="Q190" s="506">
        <v>20</v>
      </c>
      <c r="R190" s="427" t="s">
        <v>58</v>
      </c>
      <c r="S190" s="509">
        <v>70</v>
      </c>
      <c r="T190" s="506"/>
      <c r="U190" s="431" t="s">
        <v>184</v>
      </c>
      <c r="V190" s="513">
        <v>45</v>
      </c>
      <c r="W190" s="515">
        <v>20</v>
      </c>
      <c r="X190" s="464" t="s">
        <v>58</v>
      </c>
      <c r="Y190" s="516">
        <v>70</v>
      </c>
      <c r="Z190" s="2311" t="s">
        <v>392</v>
      </c>
      <c r="AA190" s="2298"/>
      <c r="AB190" s="2312"/>
      <c r="AC190" s="2245"/>
      <c r="AD190" s="2335"/>
      <c r="AE190" s="2298"/>
      <c r="AF190" s="2314"/>
    </row>
    <row r="191" spans="1:39" ht="12" customHeight="1" x14ac:dyDescent="0.15">
      <c r="A191" s="208"/>
      <c r="B191" s="2108" t="s">
        <v>104</v>
      </c>
      <c r="C191" s="2109"/>
      <c r="D191" s="2110"/>
      <c r="E191" s="2110"/>
      <c r="F191" s="2111"/>
      <c r="G191" s="122" t="s">
        <v>25</v>
      </c>
      <c r="H191" s="2357"/>
      <c r="I191" s="2184"/>
      <c r="J191" s="2183"/>
      <c r="K191" s="2184"/>
      <c r="L191" s="2552">
        <v>3</v>
      </c>
      <c r="M191" s="2750"/>
      <c r="N191" s="230"/>
      <c r="O191" s="504" t="s">
        <v>103</v>
      </c>
      <c r="P191" s="200"/>
      <c r="Q191" s="506">
        <v>20</v>
      </c>
      <c r="R191" s="320" t="s">
        <v>80</v>
      </c>
      <c r="S191" s="509">
        <v>70</v>
      </c>
      <c r="T191" s="506">
        <v>45</v>
      </c>
      <c r="U191" s="427" t="s">
        <v>58</v>
      </c>
      <c r="V191" s="513">
        <v>90</v>
      </c>
      <c r="W191" s="465"/>
      <c r="X191" s="431" t="s">
        <v>184</v>
      </c>
      <c r="Y191" s="509">
        <v>20</v>
      </c>
      <c r="Z191" s="310"/>
      <c r="AA191" s="431" t="s">
        <v>183</v>
      </c>
      <c r="AB191" s="513">
        <v>60</v>
      </c>
      <c r="AC191" s="2245"/>
      <c r="AD191" s="517">
        <v>15</v>
      </c>
      <c r="AE191" s="427" t="s">
        <v>80</v>
      </c>
      <c r="AF191" s="519">
        <v>30</v>
      </c>
    </row>
    <row r="192" spans="1:39" ht="14.25" customHeight="1" thickBot="1" x14ac:dyDescent="0.25">
      <c r="A192" s="47"/>
      <c r="B192" s="2744" t="s">
        <v>288</v>
      </c>
      <c r="C192" s="2744"/>
      <c r="D192" s="2744"/>
      <c r="E192" s="2744"/>
      <c r="F192" s="2744"/>
      <c r="G192" s="2744"/>
      <c r="H192" s="2744"/>
      <c r="I192" s="2744"/>
      <c r="J192" s="2744"/>
      <c r="K192" s="2744"/>
      <c r="L192" s="2744"/>
      <c r="M192" s="2745"/>
      <c r="N192" s="230"/>
      <c r="O192" s="505" t="s">
        <v>104</v>
      </c>
      <c r="P192" s="217"/>
      <c r="Q192" s="466"/>
      <c r="R192" s="467" t="s">
        <v>184</v>
      </c>
      <c r="S192" s="510">
        <v>20</v>
      </c>
      <c r="T192" s="512">
        <v>45</v>
      </c>
      <c r="U192" s="468" t="s">
        <v>58</v>
      </c>
      <c r="V192" s="514">
        <v>90</v>
      </c>
      <c r="W192" s="469"/>
      <c r="X192" s="468" t="s">
        <v>58</v>
      </c>
      <c r="Y192" s="470"/>
      <c r="Z192" s="471"/>
      <c r="AA192" s="262" t="s">
        <v>58</v>
      </c>
      <c r="AB192" s="472"/>
      <c r="AC192" s="2246"/>
      <c r="AD192" s="469"/>
      <c r="AE192" s="467" t="s">
        <v>184</v>
      </c>
      <c r="AF192" s="520">
        <v>15</v>
      </c>
    </row>
    <row r="193" spans="1:31" ht="14.25" customHeight="1" x14ac:dyDescent="0.2">
      <c r="A193" s="108"/>
      <c r="B193" s="49"/>
      <c r="C193" s="49"/>
      <c r="D193" s="49"/>
      <c r="E193" s="49"/>
      <c r="F193" s="49"/>
      <c r="G193" s="49"/>
      <c r="H193" s="49"/>
      <c r="I193" s="49"/>
      <c r="J193" s="49"/>
      <c r="K193" s="49"/>
      <c r="L193" s="49"/>
      <c r="M193" s="49"/>
      <c r="N193" s="17"/>
      <c r="O193" s="12"/>
      <c r="P193" s="12"/>
      <c r="Q193" s="473"/>
      <c r="R193" s="473"/>
      <c r="S193" s="12"/>
      <c r="T193" s="13"/>
      <c r="U193" s="473"/>
      <c r="V193" s="474"/>
      <c r="W193" s="475"/>
      <c r="X193" s="475"/>
      <c r="Y193" s="475"/>
      <c r="Z193" s="475"/>
      <c r="AA193" s="475"/>
      <c r="AB193" s="235"/>
      <c r="AC193" s="475"/>
      <c r="AD193" s="473"/>
      <c r="AE193" s="474"/>
    </row>
    <row r="194" spans="1:31" ht="13.5" customHeight="1" x14ac:dyDescent="0.2">
      <c r="A194" s="7"/>
      <c r="B194" s="476"/>
      <c r="C194" s="476"/>
      <c r="D194" s="476"/>
      <c r="E194" s="476"/>
      <c r="F194" s="476"/>
      <c r="G194" s="477"/>
      <c r="H194" s="477"/>
      <c r="I194" s="477"/>
      <c r="J194" s="477"/>
      <c r="K194" s="477"/>
      <c r="L194" s="477"/>
      <c r="M194" s="477"/>
      <c r="N194" s="7"/>
      <c r="O194" s="7"/>
      <c r="R194" s="478" t="s">
        <v>440</v>
      </c>
      <c r="S194" s="438"/>
      <c r="T194" s="438"/>
      <c r="U194" s="438"/>
      <c r="V194" s="438"/>
      <c r="W194" s="438"/>
      <c r="X194" s="438"/>
      <c r="Y194" s="438"/>
    </row>
    <row r="195" spans="1:31" ht="20.25" customHeight="1" x14ac:dyDescent="0.2">
      <c r="A195" s="155"/>
      <c r="B195" s="36"/>
      <c r="C195" s="75"/>
      <c r="D195" s="75"/>
      <c r="E195" s="75"/>
      <c r="F195" s="75"/>
      <c r="G195" s="109"/>
      <c r="H195" s="110"/>
      <c r="I195" s="110"/>
      <c r="J195" s="110"/>
      <c r="K195" s="110"/>
      <c r="L195" s="110"/>
      <c r="M195" s="110"/>
      <c r="N195" s="10"/>
      <c r="O195" s="10"/>
      <c r="S195" s="1012" t="s">
        <v>802</v>
      </c>
      <c r="T195" s="479"/>
      <c r="U195" s="479"/>
      <c r="V195" s="573" t="s">
        <v>394</v>
      </c>
      <c r="W195" s="479"/>
      <c r="X195" s="479"/>
      <c r="Y195" s="130"/>
    </row>
    <row r="196" spans="1:31" ht="13.5" customHeight="1" x14ac:dyDescent="0.2">
      <c r="A196" s="480"/>
      <c r="B196" s="36"/>
      <c r="C196" s="228"/>
      <c r="D196" s="228"/>
      <c r="E196" s="228"/>
      <c r="F196" s="228"/>
      <c r="G196" s="109"/>
      <c r="H196" s="110"/>
      <c r="I196" s="110"/>
      <c r="J196" s="110"/>
      <c r="K196" s="3" t="s">
        <v>407</v>
      </c>
      <c r="R196" s="63" t="s">
        <v>426</v>
      </c>
      <c r="S196" s="1158">
        <v>50</v>
      </c>
      <c r="T196" s="551" t="str">
        <f>IF(S196&gt;90,"input is &gt;90","")</f>
        <v/>
      </c>
      <c r="U196" s="481"/>
      <c r="V196" s="481"/>
      <c r="W196" s="482" t="str">
        <f>IF(S196="","",IF(S197&gt;'Parameter tables'!AF187,'Parameter tables'!O187,IF(S197&gt;='Parameter tables'!AD188,'Parameter tables'!O188,IF(S197&gt;='Parameter tables'!AD189,'Parameter tables'!O189,IF(S197&gt;='Parameter tables'!AD191,'Parameter tables'!O191,'Parameter tables'!O192)))))</f>
        <v>Favourable</v>
      </c>
      <c r="X196" s="483" t="s">
        <v>246</v>
      </c>
    </row>
    <row r="197" spans="1:31" ht="13.5" customHeight="1" x14ac:dyDescent="0.2">
      <c r="A197" s="480"/>
      <c r="B197" s="36"/>
      <c r="C197" s="484"/>
      <c r="D197" s="484"/>
      <c r="E197" s="484"/>
      <c r="F197" s="484"/>
      <c r="G197" s="109"/>
      <c r="H197" s="110"/>
      <c r="I197" s="110"/>
      <c r="J197" s="110"/>
      <c r="K197" s="110"/>
      <c r="L197" s="110"/>
      <c r="M197" s="110"/>
      <c r="N197" s="10"/>
      <c r="O197" s="10"/>
      <c r="R197" s="63" t="s">
        <v>427</v>
      </c>
      <c r="S197" s="1158">
        <v>60</v>
      </c>
      <c r="T197" s="551" t="str">
        <f>IF(S197&gt;90,"input is &gt;90","")</f>
        <v/>
      </c>
      <c r="U197" s="485"/>
      <c r="V197" s="486"/>
      <c r="W197" s="487" t="str">
        <f>IF(S197="","",IF(S196&gt;'Parameter tables'!S187,'Parameter tables'!O187,IF(AND(S196&lt;'Parameter tables'!S188,S197&lt;'Parameter tables'!V188,S197&gt;'Parameter tables'!T188),'Parameter tables'!O188,IF(AND(S196&lt;'Parameter tables'!S189,S197&lt;='Parameter tables'!V189,S197&gt;='Parameter tables'!T189),'Parameter tables'!O189,IF(AND(S196&lt;='Parameter tables'!S190,S196&gt;='Parameter tables'!Q190,S197&lt;'Parameter tables'!V190),'Parameter tables'!O189,IF(AND(S196&lt;='Parameter tables'!S191,S196&gt;='Parameter tables'!Q191,S197&lt;='Parameter tables'!V191,S197&gt;='Parameter tables'!T191),'Parameter tables'!O191,IF(AND(S196&lt;'Parameter tables'!S192,S197&lt;='Parameter tables'!V192,S197&gt;='Parameter tables'!T192),'Parameter tables'!O192,"?")))))))</f>
        <v>Unfavourable</v>
      </c>
      <c r="X197" s="488" t="s">
        <v>395</v>
      </c>
    </row>
    <row r="198" spans="1:31" ht="13.5" customHeight="1" x14ac:dyDescent="0.2">
      <c r="A198" s="7"/>
      <c r="B198" s="476"/>
      <c r="C198" s="476"/>
      <c r="D198" s="476"/>
      <c r="E198" s="476"/>
      <c r="F198" s="476"/>
      <c r="G198" s="109"/>
      <c r="H198" s="489"/>
      <c r="I198" s="489"/>
      <c r="J198" s="489"/>
      <c r="K198" s="489"/>
      <c r="L198" s="489"/>
      <c r="M198" s="489"/>
      <c r="N198" s="10"/>
      <c r="O198" s="10"/>
      <c r="R198" s="65"/>
      <c r="S198" s="65"/>
      <c r="T198" s="490"/>
      <c r="U198" s="486"/>
      <c r="V198" s="486"/>
      <c r="W198" s="487" t="str">
        <f>IF(S197="","",IF(S196&gt;'Parameter tables'!Y187,'Parameter tables'!O187,IF(AND(S196&lt;'Parameter tables'!Y188,S197&lt;'Parameter tables'!AB188),'Parameter tables'!O188,IF(AND(S196&lt;'Parameter tables'!Y189,S197&lt;='Parameter tables'!AB189),'Parameter tables'!O189,IF(AND(S196&lt;='Parameter tables'!Y190,S196&gt;='Parameter tables'!W190),'Parameter tables'!O189,IF(AND(S196&lt;'Parameter tables'!Y191,S197&gt;'Parameter tables'!AB191),'Parameter tables'!O191,"?"))))))</f>
        <v>Fair</v>
      </c>
      <c r="X198" s="491" t="s">
        <v>450</v>
      </c>
      <c r="Y198" s="492"/>
    </row>
    <row r="199" spans="1:31" ht="18.75" customHeight="1" x14ac:dyDescent="0.2">
      <c r="A199" s="155"/>
      <c r="B199" s="2"/>
      <c r="C199" s="228"/>
      <c r="D199" s="228"/>
      <c r="E199" s="228"/>
      <c r="F199" s="228"/>
      <c r="G199" s="109"/>
      <c r="H199" s="493"/>
      <c r="I199" s="493"/>
      <c r="J199" s="493"/>
      <c r="K199" s="493"/>
      <c r="L199" s="493"/>
      <c r="M199" s="493"/>
      <c r="N199" s="10"/>
      <c r="O199" s="10"/>
      <c r="R199" s="263" t="s">
        <v>688</v>
      </c>
    </row>
    <row r="200" spans="1:31" ht="20.25" customHeight="1" x14ac:dyDescent="0.2">
      <c r="A200" s="155"/>
      <c r="B200" s="2"/>
      <c r="C200" s="228"/>
      <c r="D200" s="228"/>
      <c r="E200" s="228"/>
      <c r="F200" s="228"/>
      <c r="G200" s="109"/>
      <c r="H200" s="493"/>
      <c r="I200" s="493"/>
      <c r="J200" s="493"/>
      <c r="K200" s="493"/>
      <c r="L200" s="493"/>
      <c r="M200" s="493"/>
      <c r="N200" s="10"/>
      <c r="O200" s="10"/>
    </row>
    <row r="201" spans="1:31" ht="30.75" customHeight="1" x14ac:dyDescent="0.2">
      <c r="A201" s="155"/>
      <c r="B201" s="36"/>
      <c r="C201" s="228"/>
      <c r="D201" s="228"/>
      <c r="E201" s="228"/>
      <c r="F201" s="228"/>
      <c r="G201" s="109"/>
      <c r="H201" s="493"/>
      <c r="I201" s="493"/>
      <c r="J201" s="493"/>
      <c r="K201" s="493"/>
      <c r="L201" s="493"/>
      <c r="M201" s="493"/>
      <c r="N201" s="10"/>
      <c r="O201" s="10"/>
    </row>
    <row r="202" spans="1:31" ht="24" customHeight="1" x14ac:dyDescent="0.2">
      <c r="A202" s="155"/>
      <c r="B202" s="36"/>
      <c r="C202" s="228"/>
      <c r="D202" s="228"/>
      <c r="E202" s="228"/>
      <c r="F202" s="228"/>
      <c r="G202" s="109"/>
      <c r="H202" s="228"/>
      <c r="I202" s="228"/>
      <c r="J202" s="228"/>
      <c r="K202" s="228"/>
      <c r="L202" s="228"/>
      <c r="M202" s="228"/>
      <c r="N202" s="396"/>
      <c r="O202" s="10"/>
    </row>
    <row r="203" spans="1:31" ht="21" customHeight="1" x14ac:dyDescent="0.2">
      <c r="A203" s="155"/>
      <c r="B203" s="36"/>
      <c r="C203" s="228"/>
      <c r="D203" s="228"/>
      <c r="E203" s="228"/>
      <c r="F203" s="228"/>
      <c r="G203" s="109"/>
      <c r="H203" s="493"/>
      <c r="I203" s="493"/>
      <c r="J203" s="493"/>
      <c r="K203" s="493"/>
      <c r="L203" s="493"/>
      <c r="M203" s="493"/>
      <c r="N203" s="396"/>
      <c r="O203" s="10"/>
    </row>
    <row r="204" spans="1:31" ht="28.5" customHeight="1" x14ac:dyDescent="0.2">
      <c r="A204" s="155"/>
      <c r="B204" s="36"/>
      <c r="C204" s="269"/>
      <c r="D204" s="269"/>
      <c r="E204" s="269"/>
      <c r="F204" s="269"/>
      <c r="G204" s="13"/>
      <c r="H204" s="493"/>
      <c r="I204" s="493"/>
      <c r="J204" s="493"/>
      <c r="K204" s="493"/>
      <c r="L204" s="493"/>
      <c r="M204" s="493"/>
      <c r="N204" s="396"/>
      <c r="O204" s="10"/>
    </row>
    <row r="205" spans="1:31" ht="12.75" customHeight="1" x14ac:dyDescent="0.2">
      <c r="A205" s="480"/>
      <c r="B205" s="2"/>
      <c r="C205" s="228"/>
      <c r="D205" s="228"/>
      <c r="E205" s="228"/>
      <c r="F205" s="228"/>
      <c r="G205" s="109"/>
      <c r="H205" s="493"/>
      <c r="I205" s="493"/>
      <c r="J205" s="493"/>
      <c r="K205" s="493"/>
      <c r="L205" s="493"/>
      <c r="M205" s="493"/>
      <c r="N205" s="396"/>
      <c r="O205" s="10"/>
    </row>
    <row r="206" spans="1:31" ht="23.25" customHeight="1" x14ac:dyDescent="0.2">
      <c r="A206" s="155"/>
      <c r="B206" s="2"/>
      <c r="C206" s="12"/>
      <c r="D206" s="12"/>
      <c r="E206" s="12"/>
      <c r="F206" s="12"/>
      <c r="G206" s="109"/>
      <c r="H206" s="493"/>
      <c r="I206" s="493"/>
      <c r="J206" s="493"/>
      <c r="K206" s="493"/>
      <c r="L206" s="493"/>
      <c r="M206" s="493"/>
      <c r="N206" s="396"/>
      <c r="O206" s="10"/>
    </row>
    <row r="207" spans="1:31" x14ac:dyDescent="0.2">
      <c r="A207" s="143"/>
      <c r="B207" s="130"/>
      <c r="C207" s="130"/>
      <c r="D207" s="130"/>
      <c r="E207" s="130"/>
      <c r="F207" s="144"/>
      <c r="G207" s="145"/>
      <c r="H207" s="143"/>
      <c r="I207" s="6"/>
      <c r="J207" s="146"/>
      <c r="K207" s="141"/>
      <c r="L207" s="4"/>
      <c r="M207" s="144"/>
      <c r="N207" s="17"/>
    </row>
    <row r="208" spans="1:31" x14ac:dyDescent="0.2">
      <c r="A208" s="148"/>
      <c r="B208" s="130"/>
      <c r="C208" s="130"/>
      <c r="D208" s="130"/>
      <c r="E208" s="130"/>
      <c r="F208" s="144"/>
      <c r="G208" s="145"/>
      <c r="H208" s="143"/>
      <c r="I208" s="6"/>
      <c r="J208" s="146"/>
      <c r="K208" s="141"/>
      <c r="L208" s="4"/>
      <c r="M208" s="144"/>
      <c r="N208" s="17"/>
    </row>
    <row r="209" spans="1:14" x14ac:dyDescent="0.2">
      <c r="A209" s="147"/>
      <c r="B209" s="130"/>
      <c r="C209" s="130"/>
      <c r="D209" s="130"/>
      <c r="E209" s="130"/>
      <c r="F209" s="144"/>
      <c r="G209" s="145"/>
      <c r="H209" s="143"/>
      <c r="I209" s="6"/>
      <c r="J209" s="146"/>
      <c r="K209" s="141"/>
      <c r="L209" s="4"/>
      <c r="M209" s="144"/>
      <c r="N209" s="17"/>
    </row>
    <row r="210" spans="1:14" x14ac:dyDescent="0.2">
      <c r="A210" s="147"/>
      <c r="B210" s="130"/>
      <c r="C210" s="130"/>
      <c r="D210" s="130"/>
      <c r="E210" s="130"/>
      <c r="F210" s="144"/>
      <c r="G210" s="145"/>
      <c r="H210" s="143"/>
      <c r="I210" s="6"/>
      <c r="J210" s="146"/>
      <c r="K210" s="141"/>
      <c r="L210" s="4"/>
      <c r="M210" s="144"/>
      <c r="N210" s="17"/>
    </row>
    <row r="211" spans="1:14" x14ac:dyDescent="0.2">
      <c r="A211" s="147"/>
      <c r="B211" s="130"/>
      <c r="C211" s="130"/>
      <c r="D211" s="130"/>
      <c r="E211" s="130"/>
      <c r="F211" s="144"/>
      <c r="G211" s="145"/>
      <c r="H211" s="143"/>
      <c r="I211" s="6"/>
      <c r="J211" s="146"/>
      <c r="K211" s="141"/>
      <c r="L211" s="4"/>
      <c r="M211" s="144"/>
      <c r="N211" s="17"/>
    </row>
    <row r="212" spans="1:14" x14ac:dyDescent="0.2">
      <c r="A212" s="147"/>
      <c r="B212" s="130"/>
      <c r="C212" s="130"/>
      <c r="D212" s="130"/>
      <c r="E212" s="130"/>
      <c r="F212" s="144"/>
      <c r="G212" s="145"/>
      <c r="H212" s="143"/>
      <c r="I212" s="6"/>
      <c r="J212" s="146"/>
      <c r="K212" s="141"/>
      <c r="L212" s="4"/>
      <c r="M212" s="144"/>
      <c r="N212" s="17"/>
    </row>
    <row r="213" spans="1:14" x14ac:dyDescent="0.2">
      <c r="A213" s="147"/>
      <c r="B213" s="130"/>
      <c r="C213" s="130"/>
      <c r="D213" s="130"/>
      <c r="E213" s="130"/>
      <c r="F213" s="145"/>
      <c r="G213" s="145"/>
      <c r="H213" s="143"/>
      <c r="I213" s="6"/>
      <c r="J213" s="146"/>
      <c r="K213" s="141"/>
      <c r="L213" s="4"/>
      <c r="M213" s="144"/>
      <c r="N213" s="17"/>
    </row>
    <row r="214" spans="1:14" x14ac:dyDescent="0.2">
      <c r="A214" s="147"/>
      <c r="B214" s="130"/>
      <c r="C214" s="130"/>
      <c r="D214" s="130"/>
      <c r="E214" s="130"/>
      <c r="F214" s="145"/>
      <c r="G214" s="145"/>
      <c r="H214" s="143"/>
      <c r="I214" s="130"/>
      <c r="J214" s="149"/>
      <c r="K214" s="141"/>
      <c r="L214" s="143"/>
      <c r="M214" s="145"/>
      <c r="N214" s="17"/>
    </row>
    <row r="215" spans="1:14" x14ac:dyDescent="0.2">
      <c r="A215" s="148"/>
      <c r="B215" s="130"/>
      <c r="C215" s="130"/>
      <c r="D215" s="130"/>
      <c r="E215" s="130"/>
      <c r="F215" s="145"/>
      <c r="G215" s="145"/>
      <c r="H215" s="143"/>
      <c r="I215" s="130"/>
      <c r="J215" s="149"/>
      <c r="K215" s="141"/>
      <c r="L215" s="143"/>
      <c r="M215" s="145"/>
      <c r="N215" s="17"/>
    </row>
    <row r="216" spans="1:14" x14ac:dyDescent="0.2">
      <c r="A216" s="147"/>
      <c r="B216" s="130"/>
      <c r="C216" s="130"/>
      <c r="D216" s="130"/>
      <c r="E216" s="130"/>
      <c r="F216" s="145"/>
      <c r="G216" s="145"/>
      <c r="H216" s="143"/>
      <c r="I216" s="130"/>
      <c r="J216" s="149"/>
      <c r="K216" s="141"/>
      <c r="L216" s="143"/>
      <c r="M216" s="145"/>
      <c r="N216" s="17"/>
    </row>
    <row r="217" spans="1:14" x14ac:dyDescent="0.2">
      <c r="A217" s="147"/>
      <c r="B217" s="130"/>
      <c r="C217" s="130"/>
      <c r="D217" s="130"/>
      <c r="E217" s="130"/>
      <c r="F217" s="145"/>
      <c r="G217" s="145"/>
      <c r="H217" s="143"/>
      <c r="I217" s="130"/>
      <c r="J217" s="149"/>
      <c r="K217" s="141"/>
      <c r="L217" s="143"/>
      <c r="M217" s="145"/>
      <c r="N217" s="17"/>
    </row>
    <row r="218" spans="1:14" x14ac:dyDescent="0.2">
      <c r="A218" s="147"/>
      <c r="B218" s="130"/>
      <c r="C218" s="130"/>
      <c r="D218" s="130"/>
      <c r="E218" s="130"/>
      <c r="F218" s="145"/>
      <c r="G218" s="145"/>
      <c r="H218" s="143"/>
      <c r="I218" s="130"/>
      <c r="J218" s="149"/>
      <c r="K218" s="141"/>
      <c r="L218" s="143"/>
      <c r="M218" s="143"/>
      <c r="N218" s="17"/>
    </row>
    <row r="219" spans="1:14" x14ac:dyDescent="0.2">
      <c r="A219" s="147"/>
      <c r="B219" s="130"/>
      <c r="C219" s="130"/>
      <c r="D219" s="130"/>
      <c r="E219" s="130"/>
      <c r="F219" s="145"/>
      <c r="G219" s="145"/>
      <c r="H219" s="143"/>
      <c r="I219" s="142"/>
      <c r="J219" s="150"/>
      <c r="K219" s="142"/>
      <c r="L219" s="151"/>
      <c r="M219" s="151"/>
      <c r="N219" s="17"/>
    </row>
    <row r="220" spans="1:14" x14ac:dyDescent="0.2">
      <c r="A220" s="152"/>
      <c r="B220" s="130"/>
      <c r="C220" s="130"/>
      <c r="D220" s="130"/>
      <c r="E220" s="130"/>
      <c r="F220" s="143"/>
      <c r="G220" s="130"/>
      <c r="H220" s="130"/>
      <c r="I220" s="130"/>
      <c r="J220" s="130"/>
      <c r="K220" s="130"/>
      <c r="L220" s="143"/>
      <c r="M220" s="130"/>
      <c r="N220" s="17"/>
    </row>
    <row r="221" spans="1:14" x14ac:dyDescent="0.2">
      <c r="A221" s="141"/>
      <c r="B221" s="130"/>
      <c r="C221" s="130"/>
      <c r="D221" s="130"/>
      <c r="E221" s="130"/>
      <c r="F221" s="143"/>
      <c r="G221" s="130"/>
      <c r="H221" s="130"/>
      <c r="I221" s="130"/>
      <c r="J221" s="130"/>
      <c r="K221" s="130"/>
      <c r="L221" s="143"/>
      <c r="M221" s="130"/>
      <c r="N221" s="17"/>
    </row>
    <row r="222" spans="1:14" x14ac:dyDescent="0.2">
      <c r="A222" s="141"/>
      <c r="B222" s="130"/>
      <c r="C222" s="130"/>
      <c r="D222" s="130"/>
      <c r="E222" s="130"/>
      <c r="F222" s="143"/>
      <c r="G222" s="130"/>
      <c r="H222" s="130"/>
      <c r="I222" s="130"/>
      <c r="J222" s="130"/>
      <c r="K222" s="130"/>
      <c r="L222" s="143"/>
      <c r="M222" s="130"/>
      <c r="N222" s="17"/>
    </row>
    <row r="223" spans="1:14" x14ac:dyDescent="0.2">
      <c r="A223" s="141"/>
      <c r="B223" s="130"/>
      <c r="C223" s="130"/>
      <c r="D223" s="130"/>
      <c r="E223" s="130"/>
      <c r="F223" s="143"/>
      <c r="G223" s="130"/>
      <c r="H223" s="130"/>
      <c r="I223" s="130"/>
      <c r="J223" s="130"/>
      <c r="K223" s="130"/>
      <c r="L223" s="143"/>
      <c r="M223" s="130"/>
      <c r="N223" s="17"/>
    </row>
    <row r="224" spans="1:14" x14ac:dyDescent="0.2">
      <c r="A224" s="147"/>
      <c r="B224" s="153"/>
      <c r="C224" s="141"/>
      <c r="D224" s="141"/>
      <c r="E224" s="141"/>
      <c r="F224" s="141"/>
      <c r="G224" s="141"/>
      <c r="H224" s="153"/>
      <c r="I224" s="141"/>
      <c r="J224" s="141"/>
      <c r="K224" s="141"/>
      <c r="L224" s="141"/>
      <c r="M224" s="142"/>
      <c r="N224" s="17"/>
    </row>
    <row r="225" spans="1:14" x14ac:dyDescent="0.2">
      <c r="A225" s="108"/>
      <c r="B225" s="17"/>
      <c r="C225" s="17"/>
      <c r="D225" s="17"/>
      <c r="E225" s="17"/>
      <c r="F225" s="17"/>
      <c r="G225" s="17"/>
      <c r="H225" s="17"/>
      <c r="I225" s="17"/>
      <c r="J225" s="17"/>
      <c r="K225" s="17"/>
      <c r="L225" s="17"/>
      <c r="M225" s="17"/>
      <c r="N225" s="17"/>
    </row>
    <row r="226" spans="1:14" x14ac:dyDescent="0.2">
      <c r="A226" s="108"/>
      <c r="B226" s="17"/>
      <c r="C226" s="17"/>
      <c r="D226" s="17"/>
      <c r="E226" s="17"/>
      <c r="F226" s="17"/>
      <c r="G226" s="17"/>
      <c r="H226" s="17"/>
      <c r="I226" s="17"/>
      <c r="J226" s="17"/>
      <c r="K226" s="17"/>
      <c r="L226" s="17"/>
      <c r="M226" s="17"/>
      <c r="N226" s="17"/>
    </row>
  </sheetData>
  <sheetProtection password="CC63" sheet="1" objects="1" scenarios="1" formatCells="0"/>
  <mergeCells count="574">
    <mergeCell ref="A2:E2"/>
    <mergeCell ref="L42:M42"/>
    <mergeCell ref="L164:M164"/>
    <mergeCell ref="C12:C13"/>
    <mergeCell ref="C10:C11"/>
    <mergeCell ref="O29:Q37"/>
    <mergeCell ref="O51:Q59"/>
    <mergeCell ref="H40:I48"/>
    <mergeCell ref="A29:A37"/>
    <mergeCell ref="H34:I34"/>
    <mergeCell ref="J29:K29"/>
    <mergeCell ref="J30:K30"/>
    <mergeCell ref="J31:K31"/>
    <mergeCell ref="J32:K32"/>
    <mergeCell ref="J33:K33"/>
    <mergeCell ref="J37:K37"/>
    <mergeCell ref="H31:I31"/>
    <mergeCell ref="J35:K35"/>
    <mergeCell ref="J36:K36"/>
    <mergeCell ref="H36:I36"/>
    <mergeCell ref="H35:I35"/>
    <mergeCell ref="B40:B41"/>
    <mergeCell ref="O40:Q48"/>
    <mergeCell ref="A51:A59"/>
    <mergeCell ref="L48:M48"/>
    <mergeCell ref="L41:M41"/>
    <mergeCell ref="B175:F175"/>
    <mergeCell ref="B180:C181"/>
    <mergeCell ref="L185:M185"/>
    <mergeCell ref="B172:M172"/>
    <mergeCell ref="L174:M174"/>
    <mergeCell ref="L170:M170"/>
    <mergeCell ref="L168:M168"/>
    <mergeCell ref="B185:F185"/>
    <mergeCell ref="B183:C183"/>
    <mergeCell ref="H184:I184"/>
    <mergeCell ref="L175:M175"/>
    <mergeCell ref="J175:K175"/>
    <mergeCell ref="H175:I175"/>
    <mergeCell ref="H185:I185"/>
    <mergeCell ref="B182:C182"/>
    <mergeCell ref="D181:F181"/>
    <mergeCell ref="D183:F183"/>
    <mergeCell ref="D179:F179"/>
    <mergeCell ref="D171:F171"/>
    <mergeCell ref="J169:K169"/>
    <mergeCell ref="L165:M165"/>
    <mergeCell ref="H162:I165"/>
    <mergeCell ref="B192:M192"/>
    <mergeCell ref="H187:I191"/>
    <mergeCell ref="J182:K182"/>
    <mergeCell ref="J181:K181"/>
    <mergeCell ref="J184:K184"/>
    <mergeCell ref="D177:F177"/>
    <mergeCell ref="B177:C178"/>
    <mergeCell ref="J185:K185"/>
    <mergeCell ref="J178:K178"/>
    <mergeCell ref="L184:M184"/>
    <mergeCell ref="B191:F191"/>
    <mergeCell ref="L191:M191"/>
    <mergeCell ref="B184:F184"/>
    <mergeCell ref="H176:I183"/>
    <mergeCell ref="L186:M186"/>
    <mergeCell ref="D178:F178"/>
    <mergeCell ref="B179:C179"/>
    <mergeCell ref="B187:F187"/>
    <mergeCell ref="B188:F188"/>
    <mergeCell ref="B190:F190"/>
    <mergeCell ref="L187:M187"/>
    <mergeCell ref="B189:F189"/>
    <mergeCell ref="D180:F180"/>
    <mergeCell ref="D176:F176"/>
    <mergeCell ref="B176:C176"/>
    <mergeCell ref="J187:K191"/>
    <mergeCell ref="H186:I186"/>
    <mergeCell ref="J165:K165"/>
    <mergeCell ref="J125:K125"/>
    <mergeCell ref="Q186:S186"/>
    <mergeCell ref="J177:K177"/>
    <mergeCell ref="L166:M166"/>
    <mergeCell ref="D167:F167"/>
    <mergeCell ref="B166:F166"/>
    <mergeCell ref="C162:F162"/>
    <mergeCell ref="B167:B169"/>
    <mergeCell ref="D170:F170"/>
    <mergeCell ref="J170:K170"/>
    <mergeCell ref="D168:F168"/>
    <mergeCell ref="L167:M167"/>
    <mergeCell ref="B170:C171"/>
    <mergeCell ref="B162:B165"/>
    <mergeCell ref="C163:F163"/>
    <mergeCell ref="C164:F164"/>
    <mergeCell ref="D151:F152"/>
    <mergeCell ref="O185:P186"/>
    <mergeCell ref="J186:K186"/>
    <mergeCell ref="L190:M190"/>
    <mergeCell ref="L189:M189"/>
    <mergeCell ref="L188:M188"/>
    <mergeCell ref="Q185:V185"/>
    <mergeCell ref="J180:K180"/>
    <mergeCell ref="J179:K179"/>
    <mergeCell ref="L176:M183"/>
    <mergeCell ref="J183:K183"/>
    <mergeCell ref="J176:K176"/>
    <mergeCell ref="O189:O190"/>
    <mergeCell ref="J154:K154"/>
    <mergeCell ref="J134:K134"/>
    <mergeCell ref="H152:I152"/>
    <mergeCell ref="J126:K132"/>
    <mergeCell ref="L60:M60"/>
    <mergeCell ref="L85:M85"/>
    <mergeCell ref="T87:V87"/>
    <mergeCell ref="O76:Q76"/>
    <mergeCell ref="O85:P86"/>
    <mergeCell ref="Q85:V85"/>
    <mergeCell ref="Q86:S86"/>
    <mergeCell ref="T86:V86"/>
    <mergeCell ref="L87:M87"/>
    <mergeCell ref="L83:M83"/>
    <mergeCell ref="L84:M84"/>
    <mergeCell ref="O62:Q66"/>
    <mergeCell ref="L82:M82"/>
    <mergeCell ref="L76:M76"/>
    <mergeCell ref="L69:M69"/>
    <mergeCell ref="L86:M86"/>
    <mergeCell ref="R76:V76"/>
    <mergeCell ref="L78:M78"/>
    <mergeCell ref="L61:M61"/>
    <mergeCell ref="O75:W75"/>
    <mergeCell ref="D127:F127"/>
    <mergeCell ref="B114:F114"/>
    <mergeCell ref="B127:C127"/>
    <mergeCell ref="D126:F126"/>
    <mergeCell ref="B121:F121"/>
    <mergeCell ref="B125:F125"/>
    <mergeCell ref="D128:F128"/>
    <mergeCell ref="B126:C126"/>
    <mergeCell ref="H126:I126"/>
    <mergeCell ref="H125:I125"/>
    <mergeCell ref="B186:F186"/>
    <mergeCell ref="A111:A116"/>
    <mergeCell ref="H115:I115"/>
    <mergeCell ref="B105:F105"/>
    <mergeCell ref="B129:C129"/>
    <mergeCell ref="D130:F130"/>
    <mergeCell ref="B106:F106"/>
    <mergeCell ref="B161:F161"/>
    <mergeCell ref="B109:C109"/>
    <mergeCell ref="H141:I141"/>
    <mergeCell ref="B157:C157"/>
    <mergeCell ref="B149:F149"/>
    <mergeCell ref="B141:F141"/>
    <mergeCell ref="H135:I135"/>
    <mergeCell ref="H136:I136"/>
    <mergeCell ref="H137:I137"/>
    <mergeCell ref="H138:I138"/>
    <mergeCell ref="H139:I139"/>
    <mergeCell ref="H142:I142"/>
    <mergeCell ref="D156:F157"/>
    <mergeCell ref="A117:A120"/>
    <mergeCell ref="D118:F118"/>
    <mergeCell ref="B128:C128"/>
    <mergeCell ref="B131:C131"/>
    <mergeCell ref="L125:M125"/>
    <mergeCell ref="B100:F100"/>
    <mergeCell ref="J105:K105"/>
    <mergeCell ref="B104:F104"/>
    <mergeCell ref="B103:F103"/>
    <mergeCell ref="B102:F102"/>
    <mergeCell ref="H100:I100"/>
    <mergeCell ref="J108:K108"/>
    <mergeCell ref="J107:K107"/>
    <mergeCell ref="J101:K101"/>
    <mergeCell ref="B107:F107"/>
    <mergeCell ref="F109:M109"/>
    <mergeCell ref="L104:M104"/>
    <mergeCell ref="B120:F120"/>
    <mergeCell ref="J116:K116"/>
    <mergeCell ref="H117:I117"/>
    <mergeCell ref="B116:F116"/>
    <mergeCell ref="H116:I116"/>
    <mergeCell ref="B113:F113"/>
    <mergeCell ref="B119:F119"/>
    <mergeCell ref="L108:M108"/>
    <mergeCell ref="H99:I99"/>
    <mergeCell ref="B98:F98"/>
    <mergeCell ref="B97:F97"/>
    <mergeCell ref="B99:F99"/>
    <mergeCell ref="B96:F96"/>
    <mergeCell ref="L100:M100"/>
    <mergeCell ref="H103:I108"/>
    <mergeCell ref="J111:K111"/>
    <mergeCell ref="J117:J118"/>
    <mergeCell ref="L98:M98"/>
    <mergeCell ref="H110:I110"/>
    <mergeCell ref="H114:I114"/>
    <mergeCell ref="J161:K161"/>
    <mergeCell ref="D132:F132"/>
    <mergeCell ref="A133:M133"/>
    <mergeCell ref="L134:M134"/>
    <mergeCell ref="J135:K139"/>
    <mergeCell ref="J141:K141"/>
    <mergeCell ref="L135:M139"/>
    <mergeCell ref="L130:M130"/>
    <mergeCell ref="B158:M158"/>
    <mergeCell ref="H160:I160"/>
    <mergeCell ref="L156:M157"/>
    <mergeCell ref="D153:F153"/>
    <mergeCell ref="D154:F155"/>
    <mergeCell ref="G160:G161"/>
    <mergeCell ref="H157:I157"/>
    <mergeCell ref="G149:G150"/>
    <mergeCell ref="J151:K152"/>
    <mergeCell ref="C155:C156"/>
    <mergeCell ref="H155:I156"/>
    <mergeCell ref="J142:K142"/>
    <mergeCell ref="L131:M131"/>
    <mergeCell ref="L151:M153"/>
    <mergeCell ref="L141:M141"/>
    <mergeCell ref="J160:K160"/>
    <mergeCell ref="B89:C89"/>
    <mergeCell ref="H91:I91"/>
    <mergeCell ref="B94:F94"/>
    <mergeCell ref="H96:I96"/>
    <mergeCell ref="H98:I98"/>
    <mergeCell ref="B95:F95"/>
    <mergeCell ref="H90:I90"/>
    <mergeCell ref="B90:C90"/>
    <mergeCell ref="B91:C91"/>
    <mergeCell ref="G4:G5"/>
    <mergeCell ref="H33:I33"/>
    <mergeCell ref="L4:M4"/>
    <mergeCell ref="L27:M27"/>
    <mergeCell ref="B5:F5"/>
    <mergeCell ref="H5:I5"/>
    <mergeCell ref="J5:K5"/>
    <mergeCell ref="B4:F4"/>
    <mergeCell ref="L11:M11"/>
    <mergeCell ref="B31:B32"/>
    <mergeCell ref="L29:M37"/>
    <mergeCell ref="B29:B30"/>
    <mergeCell ref="B33:B34"/>
    <mergeCell ref="L12:M12"/>
    <mergeCell ref="L13:M13"/>
    <mergeCell ref="L10:M10"/>
    <mergeCell ref="J6:K14"/>
    <mergeCell ref="L6:M6"/>
    <mergeCell ref="L7:M7"/>
    <mergeCell ref="L8:M8"/>
    <mergeCell ref="L9:M9"/>
    <mergeCell ref="L14:M14"/>
    <mergeCell ref="H6:I6"/>
    <mergeCell ref="H27:I27"/>
    <mergeCell ref="J4:K4"/>
    <mergeCell ref="H14:I14"/>
    <mergeCell ref="J102:K102"/>
    <mergeCell ref="H95:I95"/>
    <mergeCell ref="L28:M28"/>
    <mergeCell ref="B38:M38"/>
    <mergeCell ref="B49:M49"/>
    <mergeCell ref="L39:M39"/>
    <mergeCell ref="H50:I50"/>
    <mergeCell ref="H29:I29"/>
    <mergeCell ref="H66:I66"/>
    <mergeCell ref="B39:F39"/>
    <mergeCell ref="B28:C28"/>
    <mergeCell ref="H32:I32"/>
    <mergeCell ref="B64:C64"/>
    <mergeCell ref="B69:F69"/>
    <mergeCell ref="G69:G70"/>
    <mergeCell ref="B67:M67"/>
    <mergeCell ref="B63:C63"/>
    <mergeCell ref="H4:I4"/>
    <mergeCell ref="J27:K27"/>
    <mergeCell ref="L5:M5"/>
    <mergeCell ref="B27:F27"/>
    <mergeCell ref="B61:C61"/>
    <mergeCell ref="H71:I75"/>
    <mergeCell ref="H77:I85"/>
    <mergeCell ref="B82:C82"/>
    <mergeCell ref="B83:C83"/>
    <mergeCell ref="B80:C80"/>
    <mergeCell ref="B81:C81"/>
    <mergeCell ref="B84:C84"/>
    <mergeCell ref="B85:C85"/>
    <mergeCell ref="J85:K85"/>
    <mergeCell ref="J78:K78"/>
    <mergeCell ref="J76:K76"/>
    <mergeCell ref="J82:K82"/>
    <mergeCell ref="J81:K81"/>
    <mergeCell ref="J84:K84"/>
    <mergeCell ref="B79:C79"/>
    <mergeCell ref="B77:C77"/>
    <mergeCell ref="J80:K80"/>
    <mergeCell ref="H61:I61"/>
    <mergeCell ref="H60:I60"/>
    <mergeCell ref="H28:I28"/>
    <mergeCell ref="J28:K28"/>
    <mergeCell ref="J39:K39"/>
    <mergeCell ref="H39:I39"/>
    <mergeCell ref="H51:I59"/>
    <mergeCell ref="J51:K59"/>
    <mergeCell ref="J40:K48"/>
    <mergeCell ref="J60:K60"/>
    <mergeCell ref="J34:K34"/>
    <mergeCell ref="H70:I70"/>
    <mergeCell ref="H69:I69"/>
    <mergeCell ref="H93:I93"/>
    <mergeCell ref="G93:G94"/>
    <mergeCell ref="B93:F93"/>
    <mergeCell ref="B71:C71"/>
    <mergeCell ref="D71:F71"/>
    <mergeCell ref="D72:F72"/>
    <mergeCell ref="B74:C74"/>
    <mergeCell ref="B75:C75"/>
    <mergeCell ref="B76:C76"/>
    <mergeCell ref="D73:F73"/>
    <mergeCell ref="D74:F74"/>
    <mergeCell ref="B72:C72"/>
    <mergeCell ref="B73:C73"/>
    <mergeCell ref="H87:I87"/>
    <mergeCell ref="B86:F86"/>
    <mergeCell ref="H94:I94"/>
    <mergeCell ref="B87:C87"/>
    <mergeCell ref="H89:I89"/>
    <mergeCell ref="H88:I88"/>
    <mergeCell ref="H86:I86"/>
    <mergeCell ref="B88:C88"/>
    <mergeCell ref="D75:F75"/>
    <mergeCell ref="B6:C6"/>
    <mergeCell ref="L106:M106"/>
    <mergeCell ref="J104:K104"/>
    <mergeCell ref="L80:M80"/>
    <mergeCell ref="J71:K75"/>
    <mergeCell ref="L81:M81"/>
    <mergeCell ref="J99:K99"/>
    <mergeCell ref="L103:M103"/>
    <mergeCell ref="J103:K103"/>
    <mergeCell ref="J100:K100"/>
    <mergeCell ref="L101:M101"/>
    <mergeCell ref="H97:I97"/>
    <mergeCell ref="L105:M105"/>
    <mergeCell ref="B78:C78"/>
    <mergeCell ref="H8:I8"/>
    <mergeCell ref="H9:I9"/>
    <mergeCell ref="H62:I62"/>
    <mergeCell ref="B65:C65"/>
    <mergeCell ref="H65:I65"/>
    <mergeCell ref="H64:I64"/>
    <mergeCell ref="H76:I76"/>
    <mergeCell ref="J106:K106"/>
    <mergeCell ref="L40:M40"/>
    <mergeCell ref="L50:M50"/>
    <mergeCell ref="O6:Q14"/>
    <mergeCell ref="O120:P120"/>
    <mergeCell ref="O122:P122"/>
    <mergeCell ref="Q120:R120"/>
    <mergeCell ref="Q119:R119"/>
    <mergeCell ref="Q117:R118"/>
    <mergeCell ref="O115:R116"/>
    <mergeCell ref="J113:K113"/>
    <mergeCell ref="J115:K115"/>
    <mergeCell ref="J114:K114"/>
    <mergeCell ref="L62:M66"/>
    <mergeCell ref="J83:K83"/>
    <mergeCell ref="J70:K70"/>
    <mergeCell ref="J69:K69"/>
    <mergeCell ref="J79:K79"/>
    <mergeCell ref="L77:M77"/>
    <mergeCell ref="L113:M113"/>
    <mergeCell ref="K117:K118"/>
    <mergeCell ref="O16:Q25"/>
    <mergeCell ref="J77:K77"/>
    <mergeCell ref="L79:M79"/>
    <mergeCell ref="L43:M43"/>
    <mergeCell ref="L44:M44"/>
    <mergeCell ref="L45:M45"/>
    <mergeCell ref="H12:I12"/>
    <mergeCell ref="J62:K66"/>
    <mergeCell ref="H63:I63"/>
    <mergeCell ref="J61:K61"/>
    <mergeCell ref="J50:K50"/>
    <mergeCell ref="L117:M117"/>
    <mergeCell ref="H10:I10"/>
    <mergeCell ref="H30:I30"/>
    <mergeCell ref="B52:B53"/>
    <mergeCell ref="B54:B55"/>
    <mergeCell ref="B56:B57"/>
    <mergeCell ref="H37:I37"/>
    <mergeCell ref="B7:B14"/>
    <mergeCell ref="H13:I13"/>
    <mergeCell ref="H11:I11"/>
    <mergeCell ref="G27:G28"/>
    <mergeCell ref="H7:I7"/>
    <mergeCell ref="B36:B37"/>
    <mergeCell ref="D37:F37"/>
    <mergeCell ref="B17:B18"/>
    <mergeCell ref="B19:B20"/>
    <mergeCell ref="C19:M20"/>
    <mergeCell ref="B21:B22"/>
    <mergeCell ref="C21:M22"/>
    <mergeCell ref="C23:M24"/>
    <mergeCell ref="L51:M59"/>
    <mergeCell ref="L46:M46"/>
    <mergeCell ref="L47:M47"/>
    <mergeCell ref="L107:M107"/>
    <mergeCell ref="L154:M154"/>
    <mergeCell ref="L111:M111"/>
    <mergeCell ref="L110:M110"/>
    <mergeCell ref="L114:M114"/>
    <mergeCell ref="J110:K110"/>
    <mergeCell ref="L146:M146"/>
    <mergeCell ref="B142:F142"/>
    <mergeCell ref="B111:F111"/>
    <mergeCell ref="B132:C132"/>
    <mergeCell ref="H129:I129"/>
    <mergeCell ref="B134:C134"/>
    <mergeCell ref="H134:I134"/>
    <mergeCell ref="D129:F129"/>
    <mergeCell ref="H149:I149"/>
    <mergeCell ref="H112:I112"/>
    <mergeCell ref="H113:I113"/>
    <mergeCell ref="B115:F115"/>
    <mergeCell ref="H127:I128"/>
    <mergeCell ref="B66:C66"/>
    <mergeCell ref="B174:F174"/>
    <mergeCell ref="H174:I174"/>
    <mergeCell ref="B160:F160"/>
    <mergeCell ref="H130:I130"/>
    <mergeCell ref="B150:C150"/>
    <mergeCell ref="H143:I146"/>
    <mergeCell ref="D150:F150"/>
    <mergeCell ref="H153:I153"/>
    <mergeCell ref="H154:I154"/>
    <mergeCell ref="H150:I150"/>
    <mergeCell ref="H161:I161"/>
    <mergeCell ref="C169:F169"/>
    <mergeCell ref="C165:F165"/>
    <mergeCell ref="H167:I171"/>
    <mergeCell ref="H166:I166"/>
    <mergeCell ref="H132:I132"/>
    <mergeCell ref="B130:C130"/>
    <mergeCell ref="H131:I131"/>
    <mergeCell ref="D131:F131"/>
    <mergeCell ref="AE189:AE190"/>
    <mergeCell ref="W186:Y186"/>
    <mergeCell ref="AC85:AF85"/>
    <mergeCell ref="AD86:AF86"/>
    <mergeCell ref="W85:AB85"/>
    <mergeCell ref="Z86:AB86"/>
    <mergeCell ref="AE89:AE90"/>
    <mergeCell ref="Z190:AB190"/>
    <mergeCell ref="AF189:AF190"/>
    <mergeCell ref="Z187:AB187"/>
    <mergeCell ref="AC87:AC92"/>
    <mergeCell ref="V162:X162"/>
    <mergeCell ref="T187:V187"/>
    <mergeCell ref="Z87:AB87"/>
    <mergeCell ref="Z88:AB88"/>
    <mergeCell ref="Z186:AB186"/>
    <mergeCell ref="W185:AB185"/>
    <mergeCell ref="AC185:AF185"/>
    <mergeCell ref="AD189:AD190"/>
    <mergeCell ref="U122:X122"/>
    <mergeCell ref="T186:V186"/>
    <mergeCell ref="AF89:AF90"/>
    <mergeCell ref="O155:U155"/>
    <mergeCell ref="O151:U153"/>
    <mergeCell ref="AD89:AD90"/>
    <mergeCell ref="W86:Y86"/>
    <mergeCell ref="L89:M89"/>
    <mergeCell ref="L91:M91"/>
    <mergeCell ref="L90:M90"/>
    <mergeCell ref="L93:M93"/>
    <mergeCell ref="J93:K93"/>
    <mergeCell ref="J96:K96"/>
    <mergeCell ref="J97:K97"/>
    <mergeCell ref="L88:M88"/>
    <mergeCell ref="L96:M96"/>
    <mergeCell ref="L97:M97"/>
    <mergeCell ref="J87:K91"/>
    <mergeCell ref="J86:K86"/>
    <mergeCell ref="AC187:AC192"/>
    <mergeCell ref="J94:K94"/>
    <mergeCell ref="J95:K95"/>
    <mergeCell ref="J98:K98"/>
    <mergeCell ref="L162:M162"/>
    <mergeCell ref="L163:M163"/>
    <mergeCell ref="J166:K166"/>
    <mergeCell ref="J164:K164"/>
    <mergeCell ref="J162:K163"/>
    <mergeCell ref="L102:M102"/>
    <mergeCell ref="L149:M149"/>
    <mergeCell ref="L144:M144"/>
    <mergeCell ref="L95:M95"/>
    <mergeCell ref="L94:M94"/>
    <mergeCell ref="L143:M143"/>
    <mergeCell ref="P189:P190"/>
    <mergeCell ref="L116:M116"/>
    <mergeCell ref="L128:M128"/>
    <mergeCell ref="L127:M127"/>
    <mergeCell ref="J171:K171"/>
    <mergeCell ref="L115:M115"/>
    <mergeCell ref="L126:M126"/>
    <mergeCell ref="J167:K167"/>
    <mergeCell ref="L112:M112"/>
    <mergeCell ref="Z162:AB162"/>
    <mergeCell ref="Z170:AB171"/>
    <mergeCell ref="V161:X161"/>
    <mergeCell ref="Z90:AB90"/>
    <mergeCell ref="O121:P121"/>
    <mergeCell ref="Q122:R122"/>
    <mergeCell ref="Q161:S161"/>
    <mergeCell ref="O162:O163"/>
    <mergeCell ref="Q121:R121"/>
    <mergeCell ref="O119:P119"/>
    <mergeCell ref="O89:O90"/>
    <mergeCell ref="P89:P90"/>
    <mergeCell ref="O117:P118"/>
    <mergeCell ref="O154:U154"/>
    <mergeCell ref="O150:U150"/>
    <mergeCell ref="O160:O161"/>
    <mergeCell ref="O143:P146"/>
    <mergeCell ref="Q162:Q164"/>
    <mergeCell ref="R162:R164"/>
    <mergeCell ref="S162:S164"/>
    <mergeCell ref="AD186:AF186"/>
    <mergeCell ref="U120:X120"/>
    <mergeCell ref="U119:X119"/>
    <mergeCell ref="U121:X121"/>
    <mergeCell ref="L171:M171"/>
    <mergeCell ref="L129:M129"/>
    <mergeCell ref="L132:M132"/>
    <mergeCell ref="B124:M124"/>
    <mergeCell ref="L150:M150"/>
    <mergeCell ref="J157:K157"/>
    <mergeCell ref="J174:K174"/>
    <mergeCell ref="L160:M160"/>
    <mergeCell ref="J168:K168"/>
    <mergeCell ref="J153:K153"/>
    <mergeCell ref="J150:K150"/>
    <mergeCell ref="L169:M169"/>
    <mergeCell ref="J156:K156"/>
    <mergeCell ref="L161:M161"/>
    <mergeCell ref="J143:K146"/>
    <mergeCell ref="G174:G175"/>
    <mergeCell ref="D182:F182"/>
    <mergeCell ref="AE170:AG171"/>
    <mergeCell ref="J155:K155"/>
    <mergeCell ref="Q159:S160"/>
    <mergeCell ref="C40:C41"/>
    <mergeCell ref="P156:Q157"/>
    <mergeCell ref="C16:M16"/>
    <mergeCell ref="C25:M25"/>
    <mergeCell ref="C17:M18"/>
    <mergeCell ref="B122:F122"/>
    <mergeCell ref="B117:C118"/>
    <mergeCell ref="H101:I101"/>
    <mergeCell ref="L99:M99"/>
    <mergeCell ref="L142:M142"/>
    <mergeCell ref="L155:M155"/>
    <mergeCell ref="N151:N153"/>
    <mergeCell ref="B147:M147"/>
    <mergeCell ref="H151:I151"/>
    <mergeCell ref="G141:G142"/>
    <mergeCell ref="J149:K149"/>
    <mergeCell ref="L145:M145"/>
    <mergeCell ref="B110:F110"/>
    <mergeCell ref="J112:K112"/>
    <mergeCell ref="B123:M123"/>
    <mergeCell ref="B112:F112"/>
    <mergeCell ref="H111:I111"/>
    <mergeCell ref="H102:I102"/>
    <mergeCell ref="B23:B24"/>
  </mergeCells>
  <phoneticPr fontId="11" type="noConversion"/>
  <pageMargins left="0.39370078740157483" right="0.31496062992125984" top="0.78740157480314965" bottom="0.59055118110236227" header="0.35433070866141736" footer="0.15748031496062992"/>
  <pageSetup paperSize="9" orientation="portrait" horizontalDpi="300" verticalDpi="300" r:id="rId1"/>
  <headerFooter alignWithMargins="0"/>
  <ignoredErrors>
    <ignoredError sqref="Q119" numberStoredAsText="1"/>
    <ignoredError sqref="D43:D45" formula="1"/>
    <ignoredError sqref="F62 J29 L7:L13 L40:L44 J32:J33 J36 L48"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
  <sheetViews>
    <sheetView showGridLines="0" workbookViewId="0">
      <selection sqref="A1:XFD1048576"/>
    </sheetView>
  </sheetViews>
  <sheetFormatPr baseColWidth="10" defaultColWidth="11.42578125" defaultRowHeight="12.75" x14ac:dyDescent="0.2"/>
  <cols>
    <col min="1" max="1" width="3.85546875" customWidth="1"/>
  </cols>
  <sheetData>
    <row r="1" spans="2:9" ht="37.5" customHeight="1" x14ac:dyDescent="0.2">
      <c r="B1" s="1159" t="s">
        <v>849</v>
      </c>
      <c r="C1" s="1159"/>
      <c r="E1" s="2804" t="s">
        <v>850</v>
      </c>
      <c r="F1" s="2805"/>
      <c r="G1" s="2805"/>
      <c r="H1" s="2805"/>
      <c r="I1" s="2805"/>
    </row>
    <row r="2" spans="2:9" ht="8.4499999999999993" customHeight="1" x14ac:dyDescent="0.2"/>
  </sheetData>
  <sheetProtection password="CC63" sheet="1" objects="1" scenarios="1"/>
  <mergeCells count="1">
    <mergeCell ref="E1:I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21"/>
  <sheetViews>
    <sheetView showGridLines="0" zoomScale="124" zoomScaleNormal="124" workbookViewId="0">
      <selection sqref="A1:XFD1048576"/>
    </sheetView>
  </sheetViews>
  <sheetFormatPr baseColWidth="10" defaultColWidth="11.42578125" defaultRowHeight="12.75" x14ac:dyDescent="0.2"/>
  <cols>
    <col min="1" max="1" width="2.7109375" customWidth="1"/>
    <col min="2" max="2" width="14.7109375" customWidth="1"/>
    <col min="3" max="3" width="33.85546875" customWidth="1"/>
    <col min="4" max="4" width="22.140625" customWidth="1"/>
    <col min="5" max="5" width="24.7109375" customWidth="1"/>
    <col min="6" max="6" width="26" customWidth="1"/>
    <col min="257" max="257" width="2.7109375" customWidth="1"/>
    <col min="258" max="258" width="14.7109375" customWidth="1"/>
    <col min="259" max="259" width="33.85546875" customWidth="1"/>
    <col min="260" max="260" width="22.140625" customWidth="1"/>
    <col min="261" max="261" width="24.7109375" customWidth="1"/>
    <col min="262" max="262" width="26" customWidth="1"/>
    <col min="513" max="513" width="2.7109375" customWidth="1"/>
    <col min="514" max="514" width="14.7109375" customWidth="1"/>
    <col min="515" max="515" width="33.85546875" customWidth="1"/>
    <col min="516" max="516" width="22.140625" customWidth="1"/>
    <col min="517" max="517" width="24.7109375" customWidth="1"/>
    <col min="518" max="518" width="26" customWidth="1"/>
    <col min="769" max="769" width="2.7109375" customWidth="1"/>
    <col min="770" max="770" width="14.7109375" customWidth="1"/>
    <col min="771" max="771" width="33.85546875" customWidth="1"/>
    <col min="772" max="772" width="22.140625" customWidth="1"/>
    <col min="773" max="773" width="24.7109375" customWidth="1"/>
    <col min="774" max="774" width="26" customWidth="1"/>
    <col min="1025" max="1025" width="2.7109375" customWidth="1"/>
    <col min="1026" max="1026" width="14.7109375" customWidth="1"/>
    <col min="1027" max="1027" width="33.85546875" customWidth="1"/>
    <col min="1028" max="1028" width="22.140625" customWidth="1"/>
    <col min="1029" max="1029" width="24.7109375" customWidth="1"/>
    <col min="1030" max="1030" width="26" customWidth="1"/>
    <col min="1281" max="1281" width="2.7109375" customWidth="1"/>
    <col min="1282" max="1282" width="14.7109375" customWidth="1"/>
    <col min="1283" max="1283" width="33.85546875" customWidth="1"/>
    <col min="1284" max="1284" width="22.140625" customWidth="1"/>
    <col min="1285" max="1285" width="24.7109375" customWidth="1"/>
    <col min="1286" max="1286" width="26" customWidth="1"/>
    <col min="1537" max="1537" width="2.7109375" customWidth="1"/>
    <col min="1538" max="1538" width="14.7109375" customWidth="1"/>
    <col min="1539" max="1539" width="33.85546875" customWidth="1"/>
    <col min="1540" max="1540" width="22.140625" customWidth="1"/>
    <col min="1541" max="1541" width="24.7109375" customWidth="1"/>
    <col min="1542" max="1542" width="26" customWidth="1"/>
    <col min="1793" max="1793" width="2.7109375" customWidth="1"/>
    <col min="1794" max="1794" width="14.7109375" customWidth="1"/>
    <col min="1795" max="1795" width="33.85546875" customWidth="1"/>
    <col min="1796" max="1796" width="22.140625" customWidth="1"/>
    <col min="1797" max="1797" width="24.7109375" customWidth="1"/>
    <col min="1798" max="1798" width="26" customWidth="1"/>
    <col min="2049" max="2049" width="2.7109375" customWidth="1"/>
    <col min="2050" max="2050" width="14.7109375" customWidth="1"/>
    <col min="2051" max="2051" width="33.85546875" customWidth="1"/>
    <col min="2052" max="2052" width="22.140625" customWidth="1"/>
    <col min="2053" max="2053" width="24.7109375" customWidth="1"/>
    <col min="2054" max="2054" width="26" customWidth="1"/>
    <col min="2305" max="2305" width="2.7109375" customWidth="1"/>
    <col min="2306" max="2306" width="14.7109375" customWidth="1"/>
    <col min="2307" max="2307" width="33.85546875" customWidth="1"/>
    <col min="2308" max="2308" width="22.140625" customWidth="1"/>
    <col min="2309" max="2309" width="24.7109375" customWidth="1"/>
    <col min="2310" max="2310" width="26" customWidth="1"/>
    <col min="2561" max="2561" width="2.7109375" customWidth="1"/>
    <col min="2562" max="2562" width="14.7109375" customWidth="1"/>
    <col min="2563" max="2563" width="33.85546875" customWidth="1"/>
    <col min="2564" max="2564" width="22.140625" customWidth="1"/>
    <col min="2565" max="2565" width="24.7109375" customWidth="1"/>
    <col min="2566" max="2566" width="26" customWidth="1"/>
    <col min="2817" max="2817" width="2.7109375" customWidth="1"/>
    <col min="2818" max="2818" width="14.7109375" customWidth="1"/>
    <col min="2819" max="2819" width="33.85546875" customWidth="1"/>
    <col min="2820" max="2820" width="22.140625" customWidth="1"/>
    <col min="2821" max="2821" width="24.7109375" customWidth="1"/>
    <col min="2822" max="2822" width="26" customWidth="1"/>
    <col min="3073" max="3073" width="2.7109375" customWidth="1"/>
    <col min="3074" max="3074" width="14.7109375" customWidth="1"/>
    <col min="3075" max="3075" width="33.85546875" customWidth="1"/>
    <col min="3076" max="3076" width="22.140625" customWidth="1"/>
    <col min="3077" max="3077" width="24.7109375" customWidth="1"/>
    <col min="3078" max="3078" width="26" customWidth="1"/>
    <col min="3329" max="3329" width="2.7109375" customWidth="1"/>
    <col min="3330" max="3330" width="14.7109375" customWidth="1"/>
    <col min="3331" max="3331" width="33.85546875" customWidth="1"/>
    <col min="3332" max="3332" width="22.140625" customWidth="1"/>
    <col min="3333" max="3333" width="24.7109375" customWidth="1"/>
    <col min="3334" max="3334" width="26" customWidth="1"/>
    <col min="3585" max="3585" width="2.7109375" customWidth="1"/>
    <col min="3586" max="3586" width="14.7109375" customWidth="1"/>
    <col min="3587" max="3587" width="33.85546875" customWidth="1"/>
    <col min="3588" max="3588" width="22.140625" customWidth="1"/>
    <col min="3589" max="3589" width="24.7109375" customWidth="1"/>
    <col min="3590" max="3590" width="26" customWidth="1"/>
    <col min="3841" max="3841" width="2.7109375" customWidth="1"/>
    <col min="3842" max="3842" width="14.7109375" customWidth="1"/>
    <col min="3843" max="3843" width="33.85546875" customWidth="1"/>
    <col min="3844" max="3844" width="22.140625" customWidth="1"/>
    <col min="3845" max="3845" width="24.7109375" customWidth="1"/>
    <col min="3846" max="3846" width="26" customWidth="1"/>
    <col min="4097" max="4097" width="2.7109375" customWidth="1"/>
    <col min="4098" max="4098" width="14.7109375" customWidth="1"/>
    <col min="4099" max="4099" width="33.85546875" customWidth="1"/>
    <col min="4100" max="4100" width="22.140625" customWidth="1"/>
    <col min="4101" max="4101" width="24.7109375" customWidth="1"/>
    <col min="4102" max="4102" width="26" customWidth="1"/>
    <col min="4353" max="4353" width="2.7109375" customWidth="1"/>
    <col min="4354" max="4354" width="14.7109375" customWidth="1"/>
    <col min="4355" max="4355" width="33.85546875" customWidth="1"/>
    <col min="4356" max="4356" width="22.140625" customWidth="1"/>
    <col min="4357" max="4357" width="24.7109375" customWidth="1"/>
    <col min="4358" max="4358" width="26" customWidth="1"/>
    <col min="4609" max="4609" width="2.7109375" customWidth="1"/>
    <col min="4610" max="4610" width="14.7109375" customWidth="1"/>
    <col min="4611" max="4611" width="33.85546875" customWidth="1"/>
    <col min="4612" max="4612" width="22.140625" customWidth="1"/>
    <col min="4613" max="4613" width="24.7109375" customWidth="1"/>
    <col min="4614" max="4614" width="26" customWidth="1"/>
    <col min="4865" max="4865" width="2.7109375" customWidth="1"/>
    <col min="4866" max="4866" width="14.7109375" customWidth="1"/>
    <col min="4867" max="4867" width="33.85546875" customWidth="1"/>
    <col min="4868" max="4868" width="22.140625" customWidth="1"/>
    <col min="4869" max="4869" width="24.7109375" customWidth="1"/>
    <col min="4870" max="4870" width="26" customWidth="1"/>
    <col min="5121" max="5121" width="2.7109375" customWidth="1"/>
    <col min="5122" max="5122" width="14.7109375" customWidth="1"/>
    <col min="5123" max="5123" width="33.85546875" customWidth="1"/>
    <col min="5124" max="5124" width="22.140625" customWidth="1"/>
    <col min="5125" max="5125" width="24.7109375" customWidth="1"/>
    <col min="5126" max="5126" width="26" customWidth="1"/>
    <col min="5377" max="5377" width="2.7109375" customWidth="1"/>
    <col min="5378" max="5378" width="14.7109375" customWidth="1"/>
    <col min="5379" max="5379" width="33.85546875" customWidth="1"/>
    <col min="5380" max="5380" width="22.140625" customWidth="1"/>
    <col min="5381" max="5381" width="24.7109375" customWidth="1"/>
    <col min="5382" max="5382" width="26" customWidth="1"/>
    <col min="5633" max="5633" width="2.7109375" customWidth="1"/>
    <col min="5634" max="5634" width="14.7109375" customWidth="1"/>
    <col min="5635" max="5635" width="33.85546875" customWidth="1"/>
    <col min="5636" max="5636" width="22.140625" customWidth="1"/>
    <col min="5637" max="5637" width="24.7109375" customWidth="1"/>
    <col min="5638" max="5638" width="26" customWidth="1"/>
    <col min="5889" max="5889" width="2.7109375" customWidth="1"/>
    <col min="5890" max="5890" width="14.7109375" customWidth="1"/>
    <col min="5891" max="5891" width="33.85546875" customWidth="1"/>
    <col min="5892" max="5892" width="22.140625" customWidth="1"/>
    <col min="5893" max="5893" width="24.7109375" customWidth="1"/>
    <col min="5894" max="5894" width="26" customWidth="1"/>
    <col min="6145" max="6145" width="2.7109375" customWidth="1"/>
    <col min="6146" max="6146" width="14.7109375" customWidth="1"/>
    <col min="6147" max="6147" width="33.85546875" customWidth="1"/>
    <col min="6148" max="6148" width="22.140625" customWidth="1"/>
    <col min="6149" max="6149" width="24.7109375" customWidth="1"/>
    <col min="6150" max="6150" width="26" customWidth="1"/>
    <col min="6401" max="6401" width="2.7109375" customWidth="1"/>
    <col min="6402" max="6402" width="14.7109375" customWidth="1"/>
    <col min="6403" max="6403" width="33.85546875" customWidth="1"/>
    <col min="6404" max="6404" width="22.140625" customWidth="1"/>
    <col min="6405" max="6405" width="24.7109375" customWidth="1"/>
    <col min="6406" max="6406" width="26" customWidth="1"/>
    <col min="6657" max="6657" width="2.7109375" customWidth="1"/>
    <col min="6658" max="6658" width="14.7109375" customWidth="1"/>
    <col min="6659" max="6659" width="33.85546875" customWidth="1"/>
    <col min="6660" max="6660" width="22.140625" customWidth="1"/>
    <col min="6661" max="6661" width="24.7109375" customWidth="1"/>
    <col min="6662" max="6662" width="26" customWidth="1"/>
    <col min="6913" max="6913" width="2.7109375" customWidth="1"/>
    <col min="6914" max="6914" width="14.7109375" customWidth="1"/>
    <col min="6915" max="6915" width="33.85546875" customWidth="1"/>
    <col min="6916" max="6916" width="22.140625" customWidth="1"/>
    <col min="6917" max="6917" width="24.7109375" customWidth="1"/>
    <col min="6918" max="6918" width="26" customWidth="1"/>
    <col min="7169" max="7169" width="2.7109375" customWidth="1"/>
    <col min="7170" max="7170" width="14.7109375" customWidth="1"/>
    <col min="7171" max="7171" width="33.85546875" customWidth="1"/>
    <col min="7172" max="7172" width="22.140625" customWidth="1"/>
    <col min="7173" max="7173" width="24.7109375" customWidth="1"/>
    <col min="7174" max="7174" width="26" customWidth="1"/>
    <col min="7425" max="7425" width="2.7109375" customWidth="1"/>
    <col min="7426" max="7426" width="14.7109375" customWidth="1"/>
    <col min="7427" max="7427" width="33.85546875" customWidth="1"/>
    <col min="7428" max="7428" width="22.140625" customWidth="1"/>
    <col min="7429" max="7429" width="24.7109375" customWidth="1"/>
    <col min="7430" max="7430" width="26" customWidth="1"/>
    <col min="7681" max="7681" width="2.7109375" customWidth="1"/>
    <col min="7682" max="7682" width="14.7109375" customWidth="1"/>
    <col min="7683" max="7683" width="33.85546875" customWidth="1"/>
    <col min="7684" max="7684" width="22.140625" customWidth="1"/>
    <col min="7685" max="7685" width="24.7109375" customWidth="1"/>
    <col min="7686" max="7686" width="26" customWidth="1"/>
    <col min="7937" max="7937" width="2.7109375" customWidth="1"/>
    <col min="7938" max="7938" width="14.7109375" customWidth="1"/>
    <col min="7939" max="7939" width="33.85546875" customWidth="1"/>
    <col min="7940" max="7940" width="22.140625" customWidth="1"/>
    <col min="7941" max="7941" width="24.7109375" customWidth="1"/>
    <col min="7942" max="7942" width="26" customWidth="1"/>
    <col min="8193" max="8193" width="2.7109375" customWidth="1"/>
    <col min="8194" max="8194" width="14.7109375" customWidth="1"/>
    <col min="8195" max="8195" width="33.85546875" customWidth="1"/>
    <col min="8196" max="8196" width="22.140625" customWidth="1"/>
    <col min="8197" max="8197" width="24.7109375" customWidth="1"/>
    <col min="8198" max="8198" width="26" customWidth="1"/>
    <col min="8449" max="8449" width="2.7109375" customWidth="1"/>
    <col min="8450" max="8450" width="14.7109375" customWidth="1"/>
    <col min="8451" max="8451" width="33.85546875" customWidth="1"/>
    <col min="8452" max="8452" width="22.140625" customWidth="1"/>
    <col min="8453" max="8453" width="24.7109375" customWidth="1"/>
    <col min="8454" max="8454" width="26" customWidth="1"/>
    <col min="8705" max="8705" width="2.7109375" customWidth="1"/>
    <col min="8706" max="8706" width="14.7109375" customWidth="1"/>
    <col min="8707" max="8707" width="33.85546875" customWidth="1"/>
    <col min="8708" max="8708" width="22.140625" customWidth="1"/>
    <col min="8709" max="8709" width="24.7109375" customWidth="1"/>
    <col min="8710" max="8710" width="26" customWidth="1"/>
    <col min="8961" max="8961" width="2.7109375" customWidth="1"/>
    <col min="8962" max="8962" width="14.7109375" customWidth="1"/>
    <col min="8963" max="8963" width="33.85546875" customWidth="1"/>
    <col min="8964" max="8964" width="22.140625" customWidth="1"/>
    <col min="8965" max="8965" width="24.7109375" customWidth="1"/>
    <col min="8966" max="8966" width="26" customWidth="1"/>
    <col min="9217" max="9217" width="2.7109375" customWidth="1"/>
    <col min="9218" max="9218" width="14.7109375" customWidth="1"/>
    <col min="9219" max="9219" width="33.85546875" customWidth="1"/>
    <col min="9220" max="9220" width="22.140625" customWidth="1"/>
    <col min="9221" max="9221" width="24.7109375" customWidth="1"/>
    <col min="9222" max="9222" width="26" customWidth="1"/>
    <col min="9473" max="9473" width="2.7109375" customWidth="1"/>
    <col min="9474" max="9474" width="14.7109375" customWidth="1"/>
    <col min="9475" max="9475" width="33.85546875" customWidth="1"/>
    <col min="9476" max="9476" width="22.140625" customWidth="1"/>
    <col min="9477" max="9477" width="24.7109375" customWidth="1"/>
    <col min="9478" max="9478" width="26" customWidth="1"/>
    <col min="9729" max="9729" width="2.7109375" customWidth="1"/>
    <col min="9730" max="9730" width="14.7109375" customWidth="1"/>
    <col min="9731" max="9731" width="33.85546875" customWidth="1"/>
    <col min="9732" max="9732" width="22.140625" customWidth="1"/>
    <col min="9733" max="9733" width="24.7109375" customWidth="1"/>
    <col min="9734" max="9734" width="26" customWidth="1"/>
    <col min="9985" max="9985" width="2.7109375" customWidth="1"/>
    <col min="9986" max="9986" width="14.7109375" customWidth="1"/>
    <col min="9987" max="9987" width="33.85546875" customWidth="1"/>
    <col min="9988" max="9988" width="22.140625" customWidth="1"/>
    <col min="9989" max="9989" width="24.7109375" customWidth="1"/>
    <col min="9990" max="9990" width="26" customWidth="1"/>
    <col min="10241" max="10241" width="2.7109375" customWidth="1"/>
    <col min="10242" max="10242" width="14.7109375" customWidth="1"/>
    <col min="10243" max="10243" width="33.85546875" customWidth="1"/>
    <col min="10244" max="10244" width="22.140625" customWidth="1"/>
    <col min="10245" max="10245" width="24.7109375" customWidth="1"/>
    <col min="10246" max="10246" width="26" customWidth="1"/>
    <col min="10497" max="10497" width="2.7109375" customWidth="1"/>
    <col min="10498" max="10498" width="14.7109375" customWidth="1"/>
    <col min="10499" max="10499" width="33.85546875" customWidth="1"/>
    <col min="10500" max="10500" width="22.140625" customWidth="1"/>
    <col min="10501" max="10501" width="24.7109375" customWidth="1"/>
    <col min="10502" max="10502" width="26" customWidth="1"/>
    <col min="10753" max="10753" width="2.7109375" customWidth="1"/>
    <col min="10754" max="10754" width="14.7109375" customWidth="1"/>
    <col min="10755" max="10755" width="33.85546875" customWidth="1"/>
    <col min="10756" max="10756" width="22.140625" customWidth="1"/>
    <col min="10757" max="10757" width="24.7109375" customWidth="1"/>
    <col min="10758" max="10758" width="26" customWidth="1"/>
    <col min="11009" max="11009" width="2.7109375" customWidth="1"/>
    <col min="11010" max="11010" width="14.7109375" customWidth="1"/>
    <col min="11011" max="11011" width="33.85546875" customWidth="1"/>
    <col min="11012" max="11012" width="22.140625" customWidth="1"/>
    <col min="11013" max="11013" width="24.7109375" customWidth="1"/>
    <col min="11014" max="11014" width="26" customWidth="1"/>
    <col min="11265" max="11265" width="2.7109375" customWidth="1"/>
    <col min="11266" max="11266" width="14.7109375" customWidth="1"/>
    <col min="11267" max="11267" width="33.85546875" customWidth="1"/>
    <col min="11268" max="11268" width="22.140625" customWidth="1"/>
    <col min="11269" max="11269" width="24.7109375" customWidth="1"/>
    <col min="11270" max="11270" width="26" customWidth="1"/>
    <col min="11521" max="11521" width="2.7109375" customWidth="1"/>
    <col min="11522" max="11522" width="14.7109375" customWidth="1"/>
    <col min="11523" max="11523" width="33.85546875" customWidth="1"/>
    <col min="11524" max="11524" width="22.140625" customWidth="1"/>
    <col min="11525" max="11525" width="24.7109375" customWidth="1"/>
    <col min="11526" max="11526" width="26" customWidth="1"/>
    <col min="11777" max="11777" width="2.7109375" customWidth="1"/>
    <col min="11778" max="11778" width="14.7109375" customWidth="1"/>
    <col min="11779" max="11779" width="33.85546875" customWidth="1"/>
    <col min="11780" max="11780" width="22.140625" customWidth="1"/>
    <col min="11781" max="11781" width="24.7109375" customWidth="1"/>
    <col min="11782" max="11782" width="26" customWidth="1"/>
    <col min="12033" max="12033" width="2.7109375" customWidth="1"/>
    <col min="12034" max="12034" width="14.7109375" customWidth="1"/>
    <col min="12035" max="12035" width="33.85546875" customWidth="1"/>
    <col min="12036" max="12036" width="22.140625" customWidth="1"/>
    <col min="12037" max="12037" width="24.7109375" customWidth="1"/>
    <col min="12038" max="12038" width="26" customWidth="1"/>
    <col min="12289" max="12289" width="2.7109375" customWidth="1"/>
    <col min="12290" max="12290" width="14.7109375" customWidth="1"/>
    <col min="12291" max="12291" width="33.85546875" customWidth="1"/>
    <col min="12292" max="12292" width="22.140625" customWidth="1"/>
    <col min="12293" max="12293" width="24.7109375" customWidth="1"/>
    <col min="12294" max="12294" width="26" customWidth="1"/>
    <col min="12545" max="12545" width="2.7109375" customWidth="1"/>
    <col min="12546" max="12546" width="14.7109375" customWidth="1"/>
    <col min="12547" max="12547" width="33.85546875" customWidth="1"/>
    <col min="12548" max="12548" width="22.140625" customWidth="1"/>
    <col min="12549" max="12549" width="24.7109375" customWidth="1"/>
    <col min="12550" max="12550" width="26" customWidth="1"/>
    <col min="12801" max="12801" width="2.7109375" customWidth="1"/>
    <col min="12802" max="12802" width="14.7109375" customWidth="1"/>
    <col min="12803" max="12803" width="33.85546875" customWidth="1"/>
    <col min="12804" max="12804" width="22.140625" customWidth="1"/>
    <col min="12805" max="12805" width="24.7109375" customWidth="1"/>
    <col min="12806" max="12806" width="26" customWidth="1"/>
    <col min="13057" max="13057" width="2.7109375" customWidth="1"/>
    <col min="13058" max="13058" width="14.7109375" customWidth="1"/>
    <col min="13059" max="13059" width="33.85546875" customWidth="1"/>
    <col min="13060" max="13060" width="22.140625" customWidth="1"/>
    <col min="13061" max="13061" width="24.7109375" customWidth="1"/>
    <col min="13062" max="13062" width="26" customWidth="1"/>
    <col min="13313" max="13313" width="2.7109375" customWidth="1"/>
    <col min="13314" max="13314" width="14.7109375" customWidth="1"/>
    <col min="13315" max="13315" width="33.85546875" customWidth="1"/>
    <col min="13316" max="13316" width="22.140625" customWidth="1"/>
    <col min="13317" max="13317" width="24.7109375" customWidth="1"/>
    <col min="13318" max="13318" width="26" customWidth="1"/>
    <col min="13569" max="13569" width="2.7109375" customWidth="1"/>
    <col min="13570" max="13570" width="14.7109375" customWidth="1"/>
    <col min="13571" max="13571" width="33.85546875" customWidth="1"/>
    <col min="13572" max="13572" width="22.140625" customWidth="1"/>
    <col min="13573" max="13573" width="24.7109375" customWidth="1"/>
    <col min="13574" max="13574" width="26" customWidth="1"/>
    <col min="13825" max="13825" width="2.7109375" customWidth="1"/>
    <col min="13826" max="13826" width="14.7109375" customWidth="1"/>
    <col min="13827" max="13827" width="33.85546875" customWidth="1"/>
    <col min="13828" max="13828" width="22.140625" customWidth="1"/>
    <col min="13829" max="13829" width="24.7109375" customWidth="1"/>
    <col min="13830" max="13830" width="26" customWidth="1"/>
    <col min="14081" max="14081" width="2.7109375" customWidth="1"/>
    <col min="14082" max="14082" width="14.7109375" customWidth="1"/>
    <col min="14083" max="14083" width="33.85546875" customWidth="1"/>
    <col min="14084" max="14084" width="22.140625" customWidth="1"/>
    <col min="14085" max="14085" width="24.7109375" customWidth="1"/>
    <col min="14086" max="14086" width="26" customWidth="1"/>
    <col min="14337" max="14337" width="2.7109375" customWidth="1"/>
    <col min="14338" max="14338" width="14.7109375" customWidth="1"/>
    <col min="14339" max="14339" width="33.85546875" customWidth="1"/>
    <col min="14340" max="14340" width="22.140625" customWidth="1"/>
    <col min="14341" max="14341" width="24.7109375" customWidth="1"/>
    <col min="14342" max="14342" width="26" customWidth="1"/>
    <col min="14593" max="14593" width="2.7109375" customWidth="1"/>
    <col min="14594" max="14594" width="14.7109375" customWidth="1"/>
    <col min="14595" max="14595" width="33.85546875" customWidth="1"/>
    <col min="14596" max="14596" width="22.140625" customWidth="1"/>
    <col min="14597" max="14597" width="24.7109375" customWidth="1"/>
    <col min="14598" max="14598" width="26" customWidth="1"/>
    <col min="14849" max="14849" width="2.7109375" customWidth="1"/>
    <col min="14850" max="14850" width="14.7109375" customWidth="1"/>
    <col min="14851" max="14851" width="33.85546875" customWidth="1"/>
    <col min="14852" max="14852" width="22.140625" customWidth="1"/>
    <col min="14853" max="14853" width="24.7109375" customWidth="1"/>
    <col min="14854" max="14854" width="26" customWidth="1"/>
    <col min="15105" max="15105" width="2.7109375" customWidth="1"/>
    <col min="15106" max="15106" width="14.7109375" customWidth="1"/>
    <col min="15107" max="15107" width="33.85546875" customWidth="1"/>
    <col min="15108" max="15108" width="22.140625" customWidth="1"/>
    <col min="15109" max="15109" width="24.7109375" customWidth="1"/>
    <col min="15110" max="15110" width="26" customWidth="1"/>
    <col min="15361" max="15361" width="2.7109375" customWidth="1"/>
    <col min="15362" max="15362" width="14.7109375" customWidth="1"/>
    <col min="15363" max="15363" width="33.85546875" customWidth="1"/>
    <col min="15364" max="15364" width="22.140625" customWidth="1"/>
    <col min="15365" max="15365" width="24.7109375" customWidth="1"/>
    <col min="15366" max="15366" width="26" customWidth="1"/>
    <col min="15617" max="15617" width="2.7109375" customWidth="1"/>
    <col min="15618" max="15618" width="14.7109375" customWidth="1"/>
    <col min="15619" max="15619" width="33.85546875" customWidth="1"/>
    <col min="15620" max="15620" width="22.140625" customWidth="1"/>
    <col min="15621" max="15621" width="24.7109375" customWidth="1"/>
    <col min="15622" max="15622" width="26" customWidth="1"/>
    <col min="15873" max="15873" width="2.7109375" customWidth="1"/>
    <col min="15874" max="15874" width="14.7109375" customWidth="1"/>
    <col min="15875" max="15875" width="33.85546875" customWidth="1"/>
    <col min="15876" max="15876" width="22.140625" customWidth="1"/>
    <col min="15877" max="15877" width="24.7109375" customWidth="1"/>
    <col min="15878" max="15878" width="26" customWidth="1"/>
    <col min="16129" max="16129" width="2.7109375" customWidth="1"/>
    <col min="16130" max="16130" width="14.7109375" customWidth="1"/>
    <col min="16131" max="16131" width="33.85546875" customWidth="1"/>
    <col min="16132" max="16132" width="22.140625" customWidth="1"/>
    <col min="16133" max="16133" width="24.7109375" customWidth="1"/>
    <col min="16134" max="16134" width="26" customWidth="1"/>
  </cols>
  <sheetData>
    <row r="1" spans="2:6" ht="19.149999999999999" customHeight="1" x14ac:dyDescent="0.25">
      <c r="B1" s="541" t="s">
        <v>680</v>
      </c>
    </row>
    <row r="2" spans="2:6" ht="13.5" thickBot="1" x14ac:dyDescent="0.25"/>
    <row r="3" spans="2:6" s="528" customFormat="1" ht="13.5" thickTop="1" x14ac:dyDescent="0.2">
      <c r="B3" s="2824" t="s">
        <v>603</v>
      </c>
      <c r="C3" s="2827" t="s">
        <v>604</v>
      </c>
      <c r="D3" s="2830" t="s">
        <v>605</v>
      </c>
      <c r="E3" s="2831"/>
      <c r="F3" s="2832"/>
    </row>
    <row r="4" spans="2:6" s="528" customFormat="1" x14ac:dyDescent="0.2">
      <c r="B4" s="2825"/>
      <c r="C4" s="2828"/>
      <c r="D4" s="529" t="s">
        <v>606</v>
      </c>
      <c r="E4" s="2833" t="s">
        <v>607</v>
      </c>
      <c r="F4" s="2835" t="s">
        <v>608</v>
      </c>
    </row>
    <row r="5" spans="2:6" s="528" customFormat="1" ht="13.5" thickBot="1" x14ac:dyDescent="0.25">
      <c r="B5" s="2826"/>
      <c r="C5" s="2829"/>
      <c r="D5" s="530" t="s">
        <v>609</v>
      </c>
      <c r="E5" s="2834"/>
      <c r="F5" s="2836"/>
    </row>
    <row r="6" spans="2:6" s="528" customFormat="1" x14ac:dyDescent="0.2">
      <c r="B6" s="531" t="s">
        <v>610</v>
      </c>
      <c r="C6" s="532" t="s">
        <v>611</v>
      </c>
      <c r="D6" s="2818" t="s">
        <v>612</v>
      </c>
      <c r="E6" s="2819"/>
      <c r="F6" s="2820"/>
    </row>
    <row r="7" spans="2:6" s="528" customFormat="1" ht="13.5" thickBot="1" x14ac:dyDescent="0.25">
      <c r="B7" s="533" t="s">
        <v>613</v>
      </c>
      <c r="C7" s="534" t="s">
        <v>614</v>
      </c>
      <c r="D7" s="2821"/>
      <c r="E7" s="2822"/>
      <c r="F7" s="2823"/>
    </row>
    <row r="8" spans="2:6" s="528" customFormat="1" x14ac:dyDescent="0.2">
      <c r="B8" s="531" t="s">
        <v>615</v>
      </c>
      <c r="C8" s="532" t="s">
        <v>611</v>
      </c>
      <c r="D8" s="2806" t="s">
        <v>616</v>
      </c>
      <c r="E8" s="2809" t="s">
        <v>617</v>
      </c>
      <c r="F8" s="2812" t="s">
        <v>275</v>
      </c>
    </row>
    <row r="9" spans="2:6" s="528" customFormat="1" x14ac:dyDescent="0.2">
      <c r="B9" s="531" t="s">
        <v>618</v>
      </c>
      <c r="C9" s="532" t="s">
        <v>619</v>
      </c>
      <c r="D9" s="2807"/>
      <c r="E9" s="2810"/>
      <c r="F9" s="2813"/>
    </row>
    <row r="10" spans="2:6" s="528" customFormat="1" ht="13.5" thickBot="1" x14ac:dyDescent="0.25">
      <c r="B10" s="535"/>
      <c r="C10" s="534" t="s">
        <v>620</v>
      </c>
      <c r="D10" s="2808"/>
      <c r="E10" s="2811"/>
      <c r="F10" s="2814"/>
    </row>
    <row r="11" spans="2:6" s="528" customFormat="1" x14ac:dyDescent="0.2">
      <c r="B11" s="531" t="s">
        <v>621</v>
      </c>
      <c r="C11" s="532" t="s">
        <v>622</v>
      </c>
      <c r="D11" s="2806" t="s">
        <v>623</v>
      </c>
      <c r="E11" s="2809" t="s">
        <v>624</v>
      </c>
      <c r="F11" s="2812" t="s">
        <v>275</v>
      </c>
    </row>
    <row r="12" spans="2:6" s="528" customFormat="1" x14ac:dyDescent="0.2">
      <c r="B12" s="531" t="s">
        <v>625</v>
      </c>
      <c r="C12" s="532" t="s">
        <v>626</v>
      </c>
      <c r="D12" s="2807"/>
      <c r="E12" s="2810"/>
      <c r="F12" s="2813"/>
    </row>
    <row r="13" spans="2:6" s="528" customFormat="1" x14ac:dyDescent="0.2">
      <c r="B13" s="536"/>
      <c r="C13" s="532" t="s">
        <v>627</v>
      </c>
      <c r="D13" s="2807"/>
      <c r="E13" s="2810"/>
      <c r="F13" s="2813"/>
    </row>
    <row r="14" spans="2:6" s="528" customFormat="1" ht="13.5" thickBot="1" x14ac:dyDescent="0.25">
      <c r="B14" s="535"/>
      <c r="C14" s="534" t="s">
        <v>628</v>
      </c>
      <c r="D14" s="2808"/>
      <c r="E14" s="2811"/>
      <c r="F14" s="2814"/>
    </row>
    <row r="15" spans="2:6" s="528" customFormat="1" x14ac:dyDescent="0.2">
      <c r="B15" s="531" t="s">
        <v>629</v>
      </c>
      <c r="C15" s="532" t="s">
        <v>622</v>
      </c>
      <c r="D15" s="2806" t="s">
        <v>630</v>
      </c>
      <c r="E15" s="2809" t="s">
        <v>631</v>
      </c>
      <c r="F15" s="2812" t="s">
        <v>632</v>
      </c>
    </row>
    <row r="16" spans="2:6" s="528" customFormat="1" x14ac:dyDescent="0.2">
      <c r="B16" s="531" t="s">
        <v>633</v>
      </c>
      <c r="C16" s="532" t="s">
        <v>634</v>
      </c>
      <c r="D16" s="2807"/>
      <c r="E16" s="2810"/>
      <c r="F16" s="2813"/>
    </row>
    <row r="17" spans="2:6" s="528" customFormat="1" ht="23.25" thickBot="1" x14ac:dyDescent="0.25">
      <c r="B17" s="535"/>
      <c r="C17" s="534" t="s">
        <v>635</v>
      </c>
      <c r="D17" s="2808"/>
      <c r="E17" s="2811"/>
      <c r="F17" s="2814"/>
    </row>
    <row r="18" spans="2:6" s="528" customFormat="1" x14ac:dyDescent="0.2">
      <c r="B18" s="531" t="s">
        <v>636</v>
      </c>
      <c r="C18" s="532" t="s">
        <v>637</v>
      </c>
      <c r="D18" s="2806" t="s">
        <v>638</v>
      </c>
      <c r="E18" s="2809" t="s">
        <v>639</v>
      </c>
      <c r="F18" s="2812" t="s">
        <v>640</v>
      </c>
    </row>
    <row r="19" spans="2:6" s="528" customFormat="1" x14ac:dyDescent="0.2">
      <c r="B19" s="531" t="s">
        <v>641</v>
      </c>
      <c r="C19" s="532" t="s">
        <v>642</v>
      </c>
      <c r="D19" s="2807"/>
      <c r="E19" s="2810"/>
      <c r="F19" s="2813"/>
    </row>
    <row r="20" spans="2:6" s="528" customFormat="1" ht="23.25" thickBot="1" x14ac:dyDescent="0.25">
      <c r="B20" s="537"/>
      <c r="C20" s="538" t="s">
        <v>643</v>
      </c>
      <c r="D20" s="2815"/>
      <c r="E20" s="2816"/>
      <c r="F20" s="2817"/>
    </row>
    <row r="21" spans="2:6" ht="13.5" thickTop="1" x14ac:dyDescent="0.2"/>
  </sheetData>
  <sheetProtection password="CC63" sheet="1" objects="1" scenarios="1"/>
  <mergeCells count="18">
    <mergeCell ref="D6:F7"/>
    <mergeCell ref="B3:B5"/>
    <mergeCell ref="C3:C5"/>
    <mergeCell ref="D3:F3"/>
    <mergeCell ref="E4:E5"/>
    <mergeCell ref="F4:F5"/>
    <mergeCell ref="D8:D10"/>
    <mergeCell ref="E8:E10"/>
    <mergeCell ref="F8:F10"/>
    <mergeCell ref="D11:D14"/>
    <mergeCell ref="E11:E14"/>
    <mergeCell ref="F11:F14"/>
    <mergeCell ref="D15:D17"/>
    <mergeCell ref="E15:E17"/>
    <mergeCell ref="F15:F17"/>
    <mergeCell ref="D18:D20"/>
    <mergeCell ref="E18:E20"/>
    <mergeCell ref="F18:F2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3"/>
  <sheetViews>
    <sheetView showGridLines="0" workbookViewId="0">
      <selection activeCell="J45" sqref="J45"/>
    </sheetView>
  </sheetViews>
  <sheetFormatPr baseColWidth="10" defaultColWidth="11.42578125" defaultRowHeight="12.75" x14ac:dyDescent="0.2"/>
  <cols>
    <col min="1" max="1" width="2.42578125" customWidth="1"/>
    <col min="9" max="10" width="9" customWidth="1"/>
    <col min="258" max="258" width="2.42578125" customWidth="1"/>
    <col min="514" max="514" width="2.42578125" customWidth="1"/>
    <col min="770" max="770" width="2.42578125" customWidth="1"/>
    <col min="1026" max="1026" width="2.42578125" customWidth="1"/>
    <col min="1282" max="1282" width="2.42578125" customWidth="1"/>
    <col min="1538" max="1538" width="2.42578125" customWidth="1"/>
    <col min="1794" max="1794" width="2.42578125" customWidth="1"/>
    <col min="2050" max="2050" width="2.42578125" customWidth="1"/>
    <col min="2306" max="2306" width="2.42578125" customWidth="1"/>
    <col min="2562" max="2562" width="2.42578125" customWidth="1"/>
    <col min="2818" max="2818" width="2.42578125" customWidth="1"/>
    <col min="3074" max="3074" width="2.42578125" customWidth="1"/>
    <col min="3330" max="3330" width="2.42578125" customWidth="1"/>
    <col min="3586" max="3586" width="2.42578125" customWidth="1"/>
    <col min="3842" max="3842" width="2.42578125" customWidth="1"/>
    <col min="4098" max="4098" width="2.42578125" customWidth="1"/>
    <col min="4354" max="4354" width="2.42578125" customWidth="1"/>
    <col min="4610" max="4610" width="2.42578125" customWidth="1"/>
    <col min="4866" max="4866" width="2.42578125" customWidth="1"/>
    <col min="5122" max="5122" width="2.42578125" customWidth="1"/>
    <col min="5378" max="5378" width="2.42578125" customWidth="1"/>
    <col min="5634" max="5634" width="2.42578125" customWidth="1"/>
    <col min="5890" max="5890" width="2.42578125" customWidth="1"/>
    <col min="6146" max="6146" width="2.42578125" customWidth="1"/>
    <col min="6402" max="6402" width="2.42578125" customWidth="1"/>
    <col min="6658" max="6658" width="2.42578125" customWidth="1"/>
    <col min="6914" max="6914" width="2.42578125" customWidth="1"/>
    <col min="7170" max="7170" width="2.42578125" customWidth="1"/>
    <col min="7426" max="7426" width="2.42578125" customWidth="1"/>
    <col min="7682" max="7682" width="2.42578125" customWidth="1"/>
    <col min="7938" max="7938" width="2.42578125" customWidth="1"/>
    <col min="8194" max="8194" width="2.42578125" customWidth="1"/>
    <col min="8450" max="8450" width="2.42578125" customWidth="1"/>
    <col min="8706" max="8706" width="2.42578125" customWidth="1"/>
    <col min="8962" max="8962" width="2.42578125" customWidth="1"/>
    <col min="9218" max="9218" width="2.42578125" customWidth="1"/>
    <col min="9474" max="9474" width="2.42578125" customWidth="1"/>
    <col min="9730" max="9730" width="2.42578125" customWidth="1"/>
    <col min="9986" max="9986" width="2.42578125" customWidth="1"/>
    <col min="10242" max="10242" width="2.42578125" customWidth="1"/>
    <col min="10498" max="10498" width="2.42578125" customWidth="1"/>
    <col min="10754" max="10754" width="2.42578125" customWidth="1"/>
    <col min="11010" max="11010" width="2.42578125" customWidth="1"/>
    <col min="11266" max="11266" width="2.42578125" customWidth="1"/>
    <col min="11522" max="11522" width="2.42578125" customWidth="1"/>
    <col min="11778" max="11778" width="2.42578125" customWidth="1"/>
    <col min="12034" max="12034" width="2.42578125" customWidth="1"/>
    <col min="12290" max="12290" width="2.42578125" customWidth="1"/>
    <col min="12546" max="12546" width="2.42578125" customWidth="1"/>
    <col min="12802" max="12802" width="2.42578125" customWidth="1"/>
    <col min="13058" max="13058" width="2.42578125" customWidth="1"/>
    <col min="13314" max="13314" width="2.42578125" customWidth="1"/>
    <col min="13570" max="13570" width="2.42578125" customWidth="1"/>
    <col min="13826" max="13826" width="2.42578125" customWidth="1"/>
    <col min="14082" max="14082" width="2.42578125" customWidth="1"/>
    <col min="14338" max="14338" width="2.42578125" customWidth="1"/>
    <col min="14594" max="14594" width="2.42578125" customWidth="1"/>
    <col min="14850" max="14850" width="2.42578125" customWidth="1"/>
    <col min="15106" max="15106" width="2.42578125" customWidth="1"/>
    <col min="15362" max="15362" width="2.42578125" customWidth="1"/>
    <col min="15618" max="15618" width="2.42578125" customWidth="1"/>
    <col min="15874" max="15874" width="2.42578125" customWidth="1"/>
    <col min="16130" max="16130" width="2.42578125" customWidth="1"/>
  </cols>
  <sheetData>
    <row r="1" spans="2:18" x14ac:dyDescent="0.2">
      <c r="B1" s="2837" t="s">
        <v>679</v>
      </c>
      <c r="C1" s="2837"/>
      <c r="D1" s="2837"/>
      <c r="E1" s="2837"/>
      <c r="F1" s="2837"/>
      <c r="G1" s="2837"/>
      <c r="H1" s="2837"/>
      <c r="I1" s="2837"/>
      <c r="K1" s="2837" t="s">
        <v>678</v>
      </c>
      <c r="L1" s="2837"/>
      <c r="M1" s="2837"/>
      <c r="N1" s="2837"/>
      <c r="O1" s="2837"/>
      <c r="P1" s="2837"/>
      <c r="Q1" s="2837"/>
      <c r="R1" s="2837"/>
    </row>
    <row r="2" spans="2:18" ht="18" customHeight="1" x14ac:dyDescent="0.2">
      <c r="B2" s="2837"/>
      <c r="C2" s="2837"/>
      <c r="D2" s="2837"/>
      <c r="E2" s="2837"/>
      <c r="F2" s="2837"/>
      <c r="G2" s="2837"/>
      <c r="H2" s="2837"/>
      <c r="I2" s="2837"/>
      <c r="K2" s="2837"/>
      <c r="L2" s="2837"/>
      <c r="M2" s="2837"/>
      <c r="N2" s="2837"/>
      <c r="O2" s="2837"/>
      <c r="P2" s="2837"/>
      <c r="Q2" s="2837"/>
      <c r="R2" s="2837"/>
    </row>
    <row r="3" spans="2:18" x14ac:dyDescent="0.2">
      <c r="B3" s="574"/>
    </row>
  </sheetData>
  <sheetProtection password="CC63" sheet="1" objects="1" scenarios="1"/>
  <mergeCells count="2">
    <mergeCell ref="B1:I2"/>
    <mergeCell ref="K1:R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7</vt:i4>
      </vt:variant>
    </vt:vector>
  </HeadingPairs>
  <TitlesOfParts>
    <vt:vector size="7" baseType="lpstr">
      <vt:lpstr>Information</vt:lpstr>
      <vt:lpstr>Geo-registrations Site (1)</vt:lpstr>
      <vt:lpstr>GEO-CONDITIONS site (1)</vt:lpstr>
      <vt:lpstr>Parameter tables</vt:lpstr>
      <vt:lpstr>Q-support</vt:lpstr>
      <vt:lpstr>RMR-support</vt:lpstr>
      <vt:lpstr>RMi-support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Arild Palmstrøm</dc:creator>
  <cp:lastModifiedBy>Eier</cp:lastModifiedBy>
  <cp:lastPrinted>2014-04-09T21:25:35Z</cp:lastPrinted>
  <dcterms:created xsi:type="dcterms:W3CDTF">2005-05-19T20:34:20Z</dcterms:created>
  <dcterms:modified xsi:type="dcterms:W3CDTF">2014-04-11T20:28:36Z</dcterms:modified>
</cp:coreProperties>
</file>